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2.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3.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4.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omments5.xml" ContentType="application/vnd.openxmlformats-officedocument.spreadsheetml.comments+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comments6.xml" ContentType="application/vnd.openxmlformats-officedocument.spreadsheetml.comments+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14505" yWindow="-15" windowWidth="14310" windowHeight="11760" tabRatio="902"/>
  </bookViews>
  <sheets>
    <sheet name="Startmenue" sheetId="8" r:id="rId1"/>
    <sheet name="Hinweise" sheetId="54" r:id="rId2"/>
    <sheet name="AB_Eingabe" sheetId="23" r:id="rId3"/>
    <sheet name="AB_Ergebnis" sheetId="24" r:id="rId4"/>
    <sheet name="AB_Kommentare" sheetId="50" r:id="rId5"/>
    <sheet name="GL_Eingabe" sheetId="48" r:id="rId6"/>
    <sheet name="GL_Ergebnis" sheetId="5" r:id="rId7"/>
    <sheet name="GL_Kommentare" sheetId="51" r:id="rId8"/>
    <sheet name="OR_Eingabe" sheetId="36" r:id="rId9"/>
    <sheet name="OR_Ergebnis" sheetId="37" r:id="rId10"/>
    <sheet name="OR_Kommentare" sheetId="52" r:id="rId11"/>
    <sheet name="Kulturen" sheetId="14" state="hidden" r:id="rId12"/>
    <sheet name="Ertraege_Duengemengen" sheetId="43" state="hidden" r:id="rId13"/>
    <sheet name="Vorfruechte" sheetId="25" state="hidden" r:id="rId14"/>
    <sheet name="Zwfru" sheetId="26" state="hidden" r:id="rId15"/>
    <sheet name="Due_org" sheetId="22" r:id="rId16"/>
    <sheet name="Ackerzahl" sheetId="17" state="hidden" r:id="rId17"/>
    <sheet name="Mais_Boden" sheetId="30" state="hidden" r:id="rId18"/>
    <sheet name="Nachlieferung_Leg" sheetId="16" state="hidden" r:id="rId19"/>
    <sheet name="GL_Bodenvorrat" sheetId="15" state="hidden" r:id="rId20"/>
    <sheet name="Bodenarten" sheetId="27" state="hidden" r:id="rId21"/>
    <sheet name="Humus" sheetId="29" state="hidden" r:id="rId22"/>
    <sheet name="AB_Kalk" sheetId="34" state="hidden" r:id="rId23"/>
    <sheet name="GL_Kalk" sheetId="35" state="hidden" r:id="rId24"/>
    <sheet name="OR_Kalk " sheetId="42" state="hidden" r:id="rId25"/>
    <sheet name="Gemarkungen" sheetId="13" r:id="rId26"/>
    <sheet name="PKMg" sheetId="55" state="hidden" r:id="rId27"/>
    <sheet name="Kommentarliste" sheetId="45" state="hidden" r:id="rId28"/>
    <sheet name="Datenliste" sheetId="2" state="hidden" r:id="rId29"/>
    <sheet name=" " sheetId="56" state="veryHidden" r:id="rId30"/>
  </sheets>
  <definedNames>
    <definedName name="_xlnm._FilterDatabase" localSheetId="3" hidden="1">AB_Ergebnis!$A$54:$A$71</definedName>
    <definedName name="_xlnm._FilterDatabase" localSheetId="6" hidden="1">GL_Ergebnis!$A$37:$A$52</definedName>
    <definedName name="_xlnm._FilterDatabase" localSheetId="9" hidden="1">OR_Ergebnis!$I$70:$J$71</definedName>
    <definedName name="_ftn1" localSheetId="15">Due_org!$D$65</definedName>
    <definedName name="_ftn2" localSheetId="15">Due_org!#REF!</definedName>
    <definedName name="_ftn3" localSheetId="15">Due_org!$D$67</definedName>
    <definedName name="_ftnref1" localSheetId="15">Due_org!$D$51</definedName>
    <definedName name="_ftnref2" localSheetId="15">Due_org!$C$59</definedName>
    <definedName name="_ftnref3" localSheetId="15">Due_org!$I$56</definedName>
    <definedName name="_xlnm.Print_Area" localSheetId="2">AB_Eingabe!$C$3:$J$73</definedName>
    <definedName name="_xlnm.Print_Area" localSheetId="3">AB_Ergebnis!$C$3:$J$88</definedName>
    <definedName name="_xlnm.Print_Area" localSheetId="22">AB_Kalk!$A$2:$U$275</definedName>
    <definedName name="_xlnm.Print_Area" localSheetId="28">Datenliste!$A$2:$D$174</definedName>
    <definedName name="_xlnm.Print_Area" localSheetId="15">Due_org!$B$10:$R$49</definedName>
    <definedName name="_xlnm.Print_Area" localSheetId="12">Ertraege_Duengemengen!$B$8:$O$52</definedName>
    <definedName name="_xlnm.Print_Area" localSheetId="5">GL_Eingabe!$C$3:$J$55</definedName>
    <definedName name="_xlnm.Print_Area" localSheetId="6">GL_Ergebnis!$C$3:$J$61</definedName>
    <definedName name="_xlnm.Print_Area" localSheetId="23">GL_Kalk!$B$3:$L$72</definedName>
    <definedName name="_xlnm.Print_Area" localSheetId="1">Hinweise!$B$2:$L$147</definedName>
    <definedName name="_xlnm.Print_Area" localSheetId="11">Kulturen!$E$8:$AJ$95</definedName>
    <definedName name="_xlnm.Print_Area" localSheetId="8">OR_Eingabe!$C$3:$J$64</definedName>
    <definedName name="_xlnm.Print_Area" localSheetId="9">OR_Ergebnis!$C$3:$J$80</definedName>
    <definedName name="_xlnm.Print_Area" localSheetId="24">'OR_Kalk '!$B$3:$P$58</definedName>
    <definedName name="_xlnm.Print_Area" localSheetId="0">Startmenue!$C$2:$K$67</definedName>
    <definedName name="_xlnm.Print_Titles" localSheetId="3">AB_Ergebnis!$3:$16</definedName>
    <definedName name="_xlnm.Print_Titles" localSheetId="15">Due_org!$10:$10</definedName>
    <definedName name="_xlnm.Print_Titles" localSheetId="6">GL_Ergebnis!$3:$16</definedName>
    <definedName name="_xlnm.Print_Titles" localSheetId="11">Kulturen!$E:$F,Kulturen!$9:$10</definedName>
    <definedName name="_xlnm.Print_Titles" localSheetId="9">OR_Ergebnis!$3:$16</definedName>
    <definedName name="Nach_Leg_bis">Nachlieferung_Leg!$O$26</definedName>
    <definedName name="Nach_Leg_von">Nachlieferung_Leg!$O$27</definedName>
    <definedName name="Nachlieferung_Leg" localSheetId="26">OFFSET(Nachlieferung_Leg!$P$13,Nach_Leg_von,0,1,1):OFFSET(Nachlieferung_Leg!$P$13,Nach_Leg_bis,0,1,1)</definedName>
    <definedName name="Nachlieferung_Leg">OFFSET(Nachlieferung_Leg!$P$13,Nach_Leg_von,0,1,1):OFFSET(Nachlieferung_Leg!$P$13,Nach_Leg_bis,0,1,1)</definedName>
  </definedNames>
  <calcPr calcId="145621"/>
</workbook>
</file>

<file path=xl/calcChain.xml><?xml version="1.0" encoding="utf-8"?>
<calcChain xmlns="http://schemas.openxmlformats.org/spreadsheetml/2006/main">
  <c r="I17" i="23" l="1"/>
  <c r="I17" i="36" l="1"/>
  <c r="I17" i="48"/>
  <c r="P17" i="13" l="1"/>
  <c r="P18" i="13"/>
  <c r="P19" i="13"/>
  <c r="P20" i="13"/>
  <c r="P21" i="13"/>
  <c r="P22" i="13"/>
  <c r="P23" i="13"/>
  <c r="P24" i="13"/>
  <c r="P25" i="13"/>
  <c r="P26" i="13"/>
  <c r="P27" i="13"/>
  <c r="P28" i="13"/>
  <c r="P29" i="13"/>
  <c r="P30" i="13"/>
  <c r="P31" i="13"/>
  <c r="P32" i="13"/>
  <c r="P33" i="13"/>
  <c r="P34" i="13"/>
  <c r="P35" i="13"/>
  <c r="P36" i="13"/>
  <c r="P37" i="13"/>
  <c r="P38" i="13"/>
  <c r="P39" i="13"/>
  <c r="P40" i="13"/>
  <c r="P41" i="13"/>
  <c r="P42" i="13"/>
  <c r="P43" i="13"/>
  <c r="P44" i="13"/>
  <c r="P45" i="13"/>
  <c r="P46" i="13"/>
  <c r="P47" i="13"/>
  <c r="P48" i="13"/>
  <c r="P49" i="13"/>
  <c r="P50" i="13"/>
  <c r="P51" i="13"/>
  <c r="P52" i="13"/>
  <c r="P53" i="13"/>
  <c r="P54" i="13"/>
  <c r="P55" i="13"/>
  <c r="P56" i="13"/>
  <c r="P57" i="13"/>
  <c r="P58" i="13"/>
  <c r="P59" i="13"/>
  <c r="P60" i="13"/>
  <c r="P61" i="13"/>
  <c r="P62" i="13"/>
  <c r="P63" i="13"/>
  <c r="P64" i="13"/>
  <c r="P65" i="13"/>
  <c r="P66" i="13"/>
  <c r="P67" i="13"/>
  <c r="P68" i="13"/>
  <c r="P69" i="13"/>
  <c r="P70" i="13"/>
  <c r="P71" i="13"/>
  <c r="P72" i="13"/>
  <c r="P73" i="13"/>
  <c r="P74" i="13"/>
  <c r="P75" i="13"/>
  <c r="P76" i="13"/>
  <c r="P77" i="13"/>
  <c r="P78" i="13"/>
  <c r="P79" i="13"/>
  <c r="P80" i="13"/>
  <c r="P81" i="13"/>
  <c r="P82" i="13"/>
  <c r="P83" i="13"/>
  <c r="P84" i="13"/>
  <c r="P85" i="13"/>
  <c r="P86" i="13"/>
  <c r="P87" i="13"/>
  <c r="P88" i="13"/>
  <c r="P89" i="13"/>
  <c r="P90" i="13"/>
  <c r="P91" i="13"/>
  <c r="P92" i="13"/>
  <c r="P93" i="13"/>
  <c r="P94" i="13"/>
  <c r="P95" i="13"/>
  <c r="P96" i="13"/>
  <c r="P97" i="13"/>
  <c r="P98" i="13"/>
  <c r="P99" i="13"/>
  <c r="P100" i="13"/>
  <c r="P101" i="13"/>
  <c r="P102" i="13"/>
  <c r="P103" i="13"/>
  <c r="P104" i="13"/>
  <c r="P105" i="13"/>
  <c r="P106" i="13"/>
  <c r="P107" i="13"/>
  <c r="P108" i="13"/>
  <c r="P109" i="13"/>
  <c r="P110" i="13"/>
  <c r="P111" i="13"/>
  <c r="P112" i="13"/>
  <c r="P113" i="13"/>
  <c r="P114" i="13"/>
  <c r="P115" i="13"/>
  <c r="P116" i="13"/>
  <c r="P117" i="13"/>
  <c r="P118" i="13"/>
  <c r="P119" i="13"/>
  <c r="P120" i="13"/>
  <c r="P121" i="13"/>
  <c r="P122" i="13"/>
  <c r="P123" i="13"/>
  <c r="P124" i="13"/>
  <c r="P125" i="13"/>
  <c r="P126" i="13"/>
  <c r="P127" i="13"/>
  <c r="P128" i="13"/>
  <c r="P129" i="13"/>
  <c r="P130" i="13"/>
  <c r="P131" i="13"/>
  <c r="P132" i="13"/>
  <c r="P133" i="13"/>
  <c r="P134" i="13"/>
  <c r="P135" i="13"/>
  <c r="P136" i="13"/>
  <c r="P137" i="13"/>
  <c r="P138" i="13"/>
  <c r="P139" i="13"/>
  <c r="P140" i="13"/>
  <c r="P141" i="13"/>
  <c r="P142" i="13"/>
  <c r="P143" i="13"/>
  <c r="P144" i="13"/>
  <c r="P145" i="13"/>
  <c r="P146" i="13"/>
  <c r="P147" i="13"/>
  <c r="P148" i="13"/>
  <c r="P149" i="13"/>
  <c r="P150" i="13"/>
  <c r="P151" i="13"/>
  <c r="P152" i="13"/>
  <c r="P153" i="13"/>
  <c r="P154" i="13"/>
  <c r="P155" i="13"/>
  <c r="P156" i="13"/>
  <c r="P157" i="13"/>
  <c r="P158" i="13"/>
  <c r="P159" i="13"/>
  <c r="P160" i="13"/>
  <c r="P161" i="13"/>
  <c r="P162" i="13"/>
  <c r="P163" i="13"/>
  <c r="P164" i="13"/>
  <c r="P165" i="13"/>
  <c r="P166" i="13"/>
  <c r="P167" i="13"/>
  <c r="P168" i="13"/>
  <c r="P169" i="13"/>
  <c r="P170" i="13"/>
  <c r="P171" i="13"/>
  <c r="P172" i="13"/>
  <c r="P173" i="13"/>
  <c r="P174" i="13"/>
  <c r="P175" i="13"/>
  <c r="P176" i="13"/>
  <c r="P177" i="13"/>
  <c r="P178" i="13"/>
  <c r="P179" i="13"/>
  <c r="P180" i="13"/>
  <c r="P181" i="13"/>
  <c r="P182" i="13"/>
  <c r="P183" i="13"/>
  <c r="P184" i="13"/>
  <c r="P185" i="13"/>
  <c r="P186" i="13"/>
  <c r="P187" i="13"/>
  <c r="P188" i="13"/>
  <c r="P189" i="13"/>
  <c r="P190" i="13"/>
  <c r="P191" i="13"/>
  <c r="P192" i="13"/>
  <c r="P193" i="13"/>
  <c r="P194" i="13"/>
  <c r="P195" i="13"/>
  <c r="P196" i="13"/>
  <c r="P197" i="13"/>
  <c r="P198" i="13"/>
  <c r="P199" i="13"/>
  <c r="P200" i="13"/>
  <c r="P201" i="13"/>
  <c r="P202" i="13"/>
  <c r="P203" i="13"/>
  <c r="P204" i="13"/>
  <c r="P205" i="13"/>
  <c r="P206" i="13"/>
  <c r="P207" i="13"/>
  <c r="P208" i="13"/>
  <c r="P209" i="13"/>
  <c r="P210" i="13"/>
  <c r="P211" i="13"/>
  <c r="P212" i="13"/>
  <c r="P213" i="13"/>
  <c r="P214" i="13"/>
  <c r="P215" i="13"/>
  <c r="P216" i="13"/>
  <c r="P217" i="13"/>
  <c r="P218" i="13"/>
  <c r="P219" i="13"/>
  <c r="P220" i="13"/>
  <c r="P221" i="13"/>
  <c r="P222" i="13"/>
  <c r="P223" i="13"/>
  <c r="P224" i="13"/>
  <c r="P225" i="13"/>
  <c r="P226" i="13"/>
  <c r="P227" i="13"/>
  <c r="P228" i="13"/>
  <c r="P229" i="13"/>
  <c r="P230" i="13"/>
  <c r="P231" i="13"/>
  <c r="P232" i="13"/>
  <c r="P233" i="13"/>
  <c r="P234" i="13"/>
  <c r="P235" i="13"/>
  <c r="P236" i="13"/>
  <c r="P237" i="13"/>
  <c r="P238" i="13"/>
  <c r="P239" i="13"/>
  <c r="P240" i="13"/>
  <c r="P241" i="13"/>
  <c r="P242" i="13"/>
  <c r="P243" i="13"/>
  <c r="P244" i="13"/>
  <c r="P245" i="13"/>
  <c r="P246" i="13"/>
  <c r="P247" i="13"/>
  <c r="P248" i="13"/>
  <c r="P249" i="13"/>
  <c r="P250" i="13"/>
  <c r="P251" i="13"/>
  <c r="P252" i="13"/>
  <c r="P253" i="13"/>
  <c r="P254" i="13"/>
  <c r="P255" i="13"/>
  <c r="P256" i="13"/>
  <c r="P257" i="13"/>
  <c r="P258" i="13"/>
  <c r="P259" i="13"/>
  <c r="P260" i="13"/>
  <c r="P261" i="13"/>
  <c r="P262" i="13"/>
  <c r="P263" i="13"/>
  <c r="P264" i="13"/>
  <c r="P265" i="13"/>
  <c r="P266" i="13"/>
  <c r="P267" i="13"/>
  <c r="P268" i="13"/>
  <c r="P269" i="13"/>
  <c r="P270" i="13"/>
  <c r="P271" i="13"/>
  <c r="P272" i="13"/>
  <c r="P273" i="13"/>
  <c r="P274" i="13"/>
  <c r="P275" i="13"/>
  <c r="P276" i="13"/>
  <c r="P277" i="13"/>
  <c r="P278" i="13"/>
  <c r="P279" i="13"/>
  <c r="P280" i="13"/>
  <c r="P281" i="13"/>
  <c r="P282" i="13"/>
  <c r="P283" i="13"/>
  <c r="P284" i="13"/>
  <c r="P285" i="13"/>
  <c r="P286" i="13"/>
  <c r="P287" i="13"/>
  <c r="P288" i="13"/>
  <c r="P289" i="13"/>
  <c r="P290" i="13"/>
  <c r="P291" i="13"/>
  <c r="P292" i="13"/>
  <c r="P293" i="13"/>
  <c r="P294" i="13"/>
  <c r="P295" i="13"/>
  <c r="P296" i="13"/>
  <c r="P297" i="13"/>
  <c r="P298" i="13"/>
  <c r="P299" i="13"/>
  <c r="P300" i="13"/>
  <c r="P301" i="13"/>
  <c r="P302" i="13"/>
  <c r="P303" i="13"/>
  <c r="P304" i="13"/>
  <c r="P305" i="13"/>
  <c r="P306" i="13"/>
  <c r="P307" i="13"/>
  <c r="P308" i="13"/>
  <c r="P309" i="13"/>
  <c r="P310" i="13"/>
  <c r="P311" i="13"/>
  <c r="P312" i="13"/>
  <c r="P313" i="13"/>
  <c r="P314" i="13"/>
  <c r="P315" i="13"/>
  <c r="P316" i="13"/>
  <c r="P317" i="13"/>
  <c r="P318" i="13"/>
  <c r="P319" i="13"/>
  <c r="P320" i="13"/>
  <c r="P321" i="13"/>
  <c r="P322" i="13"/>
  <c r="P323" i="13"/>
  <c r="P324" i="13"/>
  <c r="P325" i="13"/>
  <c r="P326" i="13"/>
  <c r="P327" i="13"/>
  <c r="P328" i="13"/>
  <c r="P329" i="13"/>
  <c r="P330" i="13"/>
  <c r="P331" i="13"/>
  <c r="P332" i="13"/>
  <c r="P333" i="13"/>
  <c r="P334" i="13"/>
  <c r="P335" i="13"/>
  <c r="P336" i="13"/>
  <c r="P337" i="13"/>
  <c r="P338" i="13"/>
  <c r="P339" i="13"/>
  <c r="P340" i="13"/>
  <c r="P341" i="13"/>
  <c r="P342" i="13"/>
  <c r="P343" i="13"/>
  <c r="P344" i="13"/>
  <c r="P345" i="13"/>
  <c r="P346" i="13"/>
  <c r="P347" i="13"/>
  <c r="P348" i="13"/>
  <c r="P349" i="13"/>
  <c r="P350" i="13"/>
  <c r="P351" i="13"/>
  <c r="P352" i="13"/>
  <c r="P353" i="13"/>
  <c r="P354" i="13"/>
  <c r="P355" i="13"/>
  <c r="P356" i="13"/>
  <c r="P357" i="13"/>
  <c r="P358" i="13"/>
  <c r="P359" i="13"/>
  <c r="P360" i="13"/>
  <c r="P361" i="13"/>
  <c r="P362" i="13"/>
  <c r="P363" i="13"/>
  <c r="P364" i="13"/>
  <c r="P365" i="13"/>
  <c r="P366" i="13"/>
  <c r="P367" i="13"/>
  <c r="P368" i="13"/>
  <c r="P369" i="13"/>
  <c r="P370" i="13"/>
  <c r="P371" i="13"/>
  <c r="P372" i="13"/>
  <c r="P373" i="13"/>
  <c r="P374" i="13"/>
  <c r="P375" i="13"/>
  <c r="P376" i="13"/>
  <c r="P377" i="13"/>
  <c r="P378" i="13"/>
  <c r="P379" i="13"/>
  <c r="P380" i="13"/>
  <c r="P381" i="13"/>
  <c r="P382" i="13"/>
  <c r="P383" i="13"/>
  <c r="P384" i="13"/>
  <c r="P385" i="13"/>
  <c r="P386" i="13"/>
  <c r="P387" i="13"/>
  <c r="P388" i="13"/>
  <c r="P389" i="13"/>
  <c r="P390" i="13"/>
  <c r="P391" i="13"/>
  <c r="P392" i="13"/>
  <c r="P393" i="13"/>
  <c r="P394" i="13"/>
  <c r="P395" i="13"/>
  <c r="P396" i="13"/>
  <c r="P397" i="13"/>
  <c r="P398" i="13"/>
  <c r="P399" i="13"/>
  <c r="P400" i="13"/>
  <c r="P401" i="13"/>
  <c r="P402" i="13"/>
  <c r="P403" i="13"/>
  <c r="P404" i="13"/>
  <c r="P405" i="13"/>
  <c r="P406" i="13"/>
  <c r="P407" i="13"/>
  <c r="P408" i="13"/>
  <c r="P409" i="13"/>
  <c r="P410" i="13"/>
  <c r="P411" i="13"/>
  <c r="P412" i="13"/>
  <c r="P413" i="13"/>
  <c r="P414" i="13"/>
  <c r="P415" i="13"/>
  <c r="P416" i="13"/>
  <c r="P417" i="13"/>
  <c r="P418" i="13"/>
  <c r="P419" i="13"/>
  <c r="P420" i="13"/>
  <c r="P421" i="13"/>
  <c r="P422" i="13"/>
  <c r="P423" i="13"/>
  <c r="P424" i="13"/>
  <c r="P425" i="13"/>
  <c r="P426" i="13"/>
  <c r="P427" i="13"/>
  <c r="P428" i="13"/>
  <c r="P429" i="13"/>
  <c r="P430" i="13"/>
  <c r="P431" i="13"/>
  <c r="P432" i="13"/>
  <c r="P433" i="13"/>
  <c r="P434" i="13"/>
  <c r="P435" i="13"/>
  <c r="P436" i="13"/>
  <c r="P437" i="13"/>
  <c r="P438" i="13"/>
  <c r="P439" i="13"/>
  <c r="P440" i="13"/>
  <c r="P441" i="13"/>
  <c r="P442" i="13"/>
  <c r="P443" i="13"/>
  <c r="P444" i="13"/>
  <c r="P445" i="13"/>
  <c r="P446" i="13"/>
  <c r="P447" i="13"/>
  <c r="P448" i="13"/>
  <c r="P449" i="13"/>
  <c r="P450" i="13"/>
  <c r="P451" i="13"/>
  <c r="P452" i="13"/>
  <c r="P453" i="13"/>
  <c r="P454" i="13"/>
  <c r="P455" i="13"/>
  <c r="P456" i="13"/>
  <c r="P457" i="13"/>
  <c r="P458" i="13"/>
  <c r="P459" i="13"/>
  <c r="P460" i="13"/>
  <c r="P461" i="13"/>
  <c r="P462" i="13"/>
  <c r="P463" i="13"/>
  <c r="P464" i="13"/>
  <c r="P465" i="13"/>
  <c r="P466" i="13"/>
  <c r="P467" i="13"/>
  <c r="P468" i="13"/>
  <c r="P469" i="13"/>
  <c r="P470" i="13"/>
  <c r="P471" i="13"/>
  <c r="P472" i="13"/>
  <c r="P473" i="13"/>
  <c r="P474" i="13"/>
  <c r="P475" i="13"/>
  <c r="P476" i="13"/>
  <c r="P477" i="13"/>
  <c r="P478" i="13"/>
  <c r="P479" i="13"/>
  <c r="P480" i="13"/>
  <c r="P481" i="13"/>
  <c r="P482" i="13"/>
  <c r="P483" i="13"/>
  <c r="P484" i="13"/>
  <c r="P485" i="13"/>
  <c r="P486" i="13"/>
  <c r="P487" i="13"/>
  <c r="P488" i="13"/>
  <c r="P489" i="13"/>
  <c r="P490" i="13"/>
  <c r="P491" i="13"/>
  <c r="P492" i="13"/>
  <c r="P493" i="13"/>
  <c r="P494" i="13"/>
  <c r="P495" i="13"/>
  <c r="P496" i="13"/>
  <c r="P497" i="13"/>
  <c r="P498" i="13"/>
  <c r="P499" i="13"/>
  <c r="P500" i="13"/>
  <c r="P501" i="13"/>
  <c r="P502" i="13"/>
  <c r="P503" i="13"/>
  <c r="P504" i="13"/>
  <c r="P505" i="13"/>
  <c r="P506" i="13"/>
  <c r="P507" i="13"/>
  <c r="P508" i="13"/>
  <c r="P509" i="13"/>
  <c r="P510" i="13"/>
  <c r="P511" i="13"/>
  <c r="P512" i="13"/>
  <c r="P513" i="13"/>
  <c r="P514" i="13"/>
  <c r="P515" i="13"/>
  <c r="P516" i="13"/>
  <c r="P517" i="13"/>
  <c r="P518" i="13"/>
  <c r="P519" i="13"/>
  <c r="P520" i="13"/>
  <c r="P521" i="13"/>
  <c r="P522" i="13"/>
  <c r="P523" i="13"/>
  <c r="P524" i="13"/>
  <c r="P525" i="13"/>
  <c r="P526" i="13"/>
  <c r="P527" i="13"/>
  <c r="P528" i="13"/>
  <c r="P529" i="13"/>
  <c r="P530" i="13"/>
  <c r="P531" i="13"/>
  <c r="P532" i="13"/>
  <c r="P533" i="13"/>
  <c r="P534" i="13"/>
  <c r="P535" i="13"/>
  <c r="P536" i="13"/>
  <c r="P537" i="13"/>
  <c r="P538" i="13"/>
  <c r="P539" i="13"/>
  <c r="P540" i="13"/>
  <c r="P541" i="13"/>
  <c r="P542" i="13"/>
  <c r="P543" i="13"/>
  <c r="P544" i="13"/>
  <c r="P545" i="13"/>
  <c r="P546" i="13"/>
  <c r="P547" i="13"/>
  <c r="P548" i="13"/>
  <c r="P549" i="13"/>
  <c r="P550" i="13"/>
  <c r="P551" i="13"/>
  <c r="P552" i="13"/>
  <c r="P553" i="13"/>
  <c r="P554" i="13"/>
  <c r="P555" i="13"/>
  <c r="P556" i="13"/>
  <c r="P557" i="13"/>
  <c r="P558" i="13"/>
  <c r="P559" i="13"/>
  <c r="P560" i="13"/>
  <c r="P561" i="13"/>
  <c r="P562" i="13"/>
  <c r="P563" i="13"/>
  <c r="P564" i="13"/>
  <c r="P565" i="13"/>
  <c r="P566" i="13"/>
  <c r="P567" i="13"/>
  <c r="P568" i="13"/>
  <c r="P569" i="13"/>
  <c r="P570" i="13"/>
  <c r="P571" i="13"/>
  <c r="P572" i="13"/>
  <c r="P573" i="13"/>
  <c r="P574" i="13"/>
  <c r="P575" i="13"/>
  <c r="P576" i="13"/>
  <c r="P577" i="13"/>
  <c r="P578" i="13"/>
  <c r="P579" i="13"/>
  <c r="P580" i="13"/>
  <c r="P581" i="13"/>
  <c r="P582" i="13"/>
  <c r="P583" i="13"/>
  <c r="P584" i="13"/>
  <c r="P585" i="13"/>
  <c r="P586" i="13"/>
  <c r="P587" i="13"/>
  <c r="P588" i="13"/>
  <c r="P589" i="13"/>
  <c r="P590" i="13"/>
  <c r="P591" i="13"/>
  <c r="P592" i="13"/>
  <c r="P593" i="13"/>
  <c r="P594" i="13"/>
  <c r="P595" i="13"/>
  <c r="P596" i="13"/>
  <c r="P597" i="13"/>
  <c r="P598" i="13"/>
  <c r="P599" i="13"/>
  <c r="P600" i="13"/>
  <c r="P601" i="13"/>
  <c r="P602" i="13"/>
  <c r="P603" i="13"/>
  <c r="P604" i="13"/>
  <c r="P605" i="13"/>
  <c r="P606" i="13"/>
  <c r="P607" i="13"/>
  <c r="P608" i="13"/>
  <c r="P609" i="13"/>
  <c r="P610" i="13"/>
  <c r="P611" i="13"/>
  <c r="P612" i="13"/>
  <c r="P613" i="13"/>
  <c r="P614" i="13"/>
  <c r="P615" i="13"/>
  <c r="P616" i="13"/>
  <c r="P617" i="13"/>
  <c r="P618" i="13"/>
  <c r="P619" i="13"/>
  <c r="P620" i="13"/>
  <c r="P621" i="13"/>
  <c r="P622" i="13"/>
  <c r="P623" i="13"/>
  <c r="P624" i="13"/>
  <c r="P625" i="13"/>
  <c r="P626" i="13"/>
  <c r="P627" i="13"/>
  <c r="P628" i="13"/>
  <c r="P629" i="13"/>
  <c r="P630" i="13"/>
  <c r="P631" i="13"/>
  <c r="P632" i="13"/>
  <c r="P633" i="13"/>
  <c r="P634" i="13"/>
  <c r="P635" i="13"/>
  <c r="P636" i="13"/>
  <c r="P637" i="13"/>
  <c r="P638" i="13"/>
  <c r="P639" i="13"/>
  <c r="P640" i="13"/>
  <c r="P641" i="13"/>
  <c r="P642" i="13"/>
  <c r="P643" i="13"/>
  <c r="P644" i="13"/>
  <c r="P645" i="13"/>
  <c r="P646" i="13"/>
  <c r="P647" i="13"/>
  <c r="P648" i="13"/>
  <c r="P649" i="13"/>
  <c r="P650" i="13"/>
  <c r="P651" i="13"/>
  <c r="P652" i="13"/>
  <c r="P653" i="13"/>
  <c r="P654" i="13"/>
  <c r="P655" i="13"/>
  <c r="P656" i="13"/>
  <c r="P657" i="13"/>
  <c r="P658" i="13"/>
  <c r="P659" i="13"/>
  <c r="P660" i="13"/>
  <c r="P661" i="13"/>
  <c r="P662" i="13"/>
  <c r="P663" i="13"/>
  <c r="P664" i="13"/>
  <c r="P665" i="13"/>
  <c r="P666" i="13"/>
  <c r="P667" i="13"/>
  <c r="P668" i="13"/>
  <c r="P669" i="13"/>
  <c r="P670" i="13"/>
  <c r="P671" i="13"/>
  <c r="P672" i="13"/>
  <c r="P673" i="13"/>
  <c r="P674" i="13"/>
  <c r="P675" i="13"/>
  <c r="P676" i="13"/>
  <c r="P677" i="13"/>
  <c r="P678" i="13"/>
  <c r="P679" i="13"/>
  <c r="P680" i="13"/>
  <c r="P681" i="13"/>
  <c r="P682" i="13"/>
  <c r="P683" i="13"/>
  <c r="P684" i="13"/>
  <c r="P685" i="13"/>
  <c r="P686" i="13"/>
  <c r="P687" i="13"/>
  <c r="P688" i="13"/>
  <c r="P689" i="13"/>
  <c r="P690" i="13"/>
  <c r="P691" i="13"/>
  <c r="P692" i="13"/>
  <c r="P693" i="13"/>
  <c r="P694" i="13"/>
  <c r="P695" i="13"/>
  <c r="P696" i="13"/>
  <c r="P697" i="13"/>
  <c r="P698" i="13"/>
  <c r="P699" i="13"/>
  <c r="P700" i="13"/>
  <c r="P701" i="13"/>
  <c r="P702" i="13"/>
  <c r="P703" i="13"/>
  <c r="P704" i="13"/>
  <c r="P705" i="13"/>
  <c r="P706" i="13"/>
  <c r="P707" i="13"/>
  <c r="P708" i="13"/>
  <c r="P709" i="13"/>
  <c r="P710" i="13"/>
  <c r="P711" i="13"/>
  <c r="P712" i="13"/>
  <c r="P713" i="13"/>
  <c r="P714" i="13"/>
  <c r="P715" i="13"/>
  <c r="P716" i="13"/>
  <c r="P717" i="13"/>
  <c r="P718" i="13"/>
  <c r="P719" i="13"/>
  <c r="P720" i="13"/>
  <c r="P721" i="13"/>
  <c r="P722" i="13"/>
  <c r="P723" i="13"/>
  <c r="P724" i="13"/>
  <c r="P725" i="13"/>
  <c r="P726" i="13"/>
  <c r="P727" i="13"/>
  <c r="P728" i="13"/>
  <c r="P729" i="13"/>
  <c r="P730" i="13"/>
  <c r="P731" i="13"/>
  <c r="P732" i="13"/>
  <c r="P733" i="13"/>
  <c r="P734" i="13"/>
  <c r="P735" i="13"/>
  <c r="P736" i="13"/>
  <c r="P737" i="13"/>
  <c r="P738" i="13"/>
  <c r="P739" i="13"/>
  <c r="P740" i="13"/>
  <c r="P741" i="13"/>
  <c r="P742" i="13"/>
  <c r="P743" i="13"/>
  <c r="P744" i="13"/>
  <c r="P745" i="13"/>
  <c r="P746" i="13"/>
  <c r="P747" i="13"/>
  <c r="P748" i="13"/>
  <c r="P749" i="13"/>
  <c r="P750" i="13"/>
  <c r="P751" i="13"/>
  <c r="P752" i="13"/>
  <c r="P753" i="13"/>
  <c r="P754" i="13"/>
  <c r="P755" i="13"/>
  <c r="P756" i="13"/>
  <c r="P757" i="13"/>
  <c r="P758" i="13"/>
  <c r="P759" i="13"/>
  <c r="P760" i="13"/>
  <c r="P761" i="13"/>
  <c r="P762" i="13"/>
  <c r="P763" i="13"/>
  <c r="P764" i="13"/>
  <c r="P765" i="13"/>
  <c r="P766" i="13"/>
  <c r="P767" i="13"/>
  <c r="P768" i="13"/>
  <c r="P769" i="13"/>
  <c r="P770" i="13"/>
  <c r="P771" i="13"/>
  <c r="P772" i="13"/>
  <c r="P773" i="13"/>
  <c r="P774" i="13"/>
  <c r="P775" i="13"/>
  <c r="P776" i="13"/>
  <c r="P777" i="13"/>
  <c r="P778" i="13"/>
  <c r="P779" i="13"/>
  <c r="P780" i="13"/>
  <c r="P781" i="13"/>
  <c r="P782" i="13"/>
  <c r="P783" i="13"/>
  <c r="P784" i="13"/>
  <c r="P785" i="13"/>
  <c r="P786" i="13"/>
  <c r="P787" i="13"/>
  <c r="P788" i="13"/>
  <c r="P789" i="13"/>
  <c r="P790" i="13"/>
  <c r="P791" i="13"/>
  <c r="P792" i="13"/>
  <c r="P793" i="13"/>
  <c r="P794" i="13"/>
  <c r="P795" i="13"/>
  <c r="P796" i="13"/>
  <c r="P797" i="13"/>
  <c r="P798" i="13"/>
  <c r="P799" i="13"/>
  <c r="P800" i="13"/>
  <c r="P801" i="13"/>
  <c r="P802" i="13"/>
  <c r="P803" i="13"/>
  <c r="P804" i="13"/>
  <c r="P805" i="13"/>
  <c r="P806" i="13"/>
  <c r="P807" i="13"/>
  <c r="P808" i="13"/>
  <c r="P809" i="13"/>
  <c r="P810" i="13"/>
  <c r="P811" i="13"/>
  <c r="P812" i="13"/>
  <c r="P813" i="13"/>
  <c r="P814" i="13"/>
  <c r="P815" i="13"/>
  <c r="P816" i="13"/>
  <c r="P817" i="13"/>
  <c r="P818" i="13"/>
  <c r="P819" i="13"/>
  <c r="P820" i="13"/>
  <c r="P821" i="13"/>
  <c r="P822" i="13"/>
  <c r="P823" i="13"/>
  <c r="P824" i="13"/>
  <c r="P825" i="13"/>
  <c r="P826" i="13"/>
  <c r="P827" i="13"/>
  <c r="P828" i="13"/>
  <c r="P829" i="13"/>
  <c r="P830" i="13"/>
  <c r="P831" i="13"/>
  <c r="P832" i="13"/>
  <c r="P833" i="13"/>
  <c r="P834" i="13"/>
  <c r="P835" i="13"/>
  <c r="P836" i="13"/>
  <c r="P837" i="13"/>
  <c r="P838" i="13"/>
  <c r="P839" i="13"/>
  <c r="P840" i="13"/>
  <c r="P841" i="13"/>
  <c r="P842" i="13"/>
  <c r="P843" i="13"/>
  <c r="P844" i="13"/>
  <c r="P845" i="13"/>
  <c r="P846" i="13"/>
  <c r="P847" i="13"/>
  <c r="P848" i="13"/>
  <c r="P849" i="13"/>
  <c r="P850" i="13"/>
  <c r="P851" i="13"/>
  <c r="P852" i="13"/>
  <c r="P853" i="13"/>
  <c r="P854" i="13"/>
  <c r="P855" i="13"/>
  <c r="P856" i="13"/>
  <c r="P857" i="13"/>
  <c r="P858" i="13"/>
  <c r="P859" i="13"/>
  <c r="P860" i="13"/>
  <c r="P861" i="13"/>
  <c r="P862" i="13"/>
  <c r="P863" i="13"/>
  <c r="P864" i="13"/>
  <c r="P865" i="13"/>
  <c r="P866" i="13"/>
  <c r="P867" i="13"/>
  <c r="P868" i="13"/>
  <c r="P869" i="13"/>
  <c r="P870" i="13"/>
  <c r="P871" i="13"/>
  <c r="P872" i="13"/>
  <c r="P873" i="13"/>
  <c r="P874" i="13"/>
  <c r="P875" i="13"/>
  <c r="P876" i="13"/>
  <c r="P877" i="13"/>
  <c r="P878" i="13"/>
  <c r="P879" i="13"/>
  <c r="P880" i="13"/>
  <c r="P881" i="13"/>
  <c r="P882" i="13"/>
  <c r="P883" i="13"/>
  <c r="P884" i="13"/>
  <c r="P885" i="13"/>
  <c r="P886" i="13"/>
  <c r="P887" i="13"/>
  <c r="P888" i="13"/>
  <c r="P889" i="13"/>
  <c r="P890" i="13"/>
  <c r="P891" i="13"/>
  <c r="P892" i="13"/>
  <c r="P893" i="13"/>
  <c r="P894" i="13"/>
  <c r="P895" i="13"/>
  <c r="P896" i="13"/>
  <c r="P897" i="13"/>
  <c r="P898" i="13"/>
  <c r="P899" i="13"/>
  <c r="P900" i="13"/>
  <c r="P901" i="13"/>
  <c r="P902" i="13"/>
  <c r="P903" i="13"/>
  <c r="P904" i="13"/>
  <c r="P905" i="13"/>
  <c r="P906" i="13"/>
  <c r="P907" i="13"/>
  <c r="P908" i="13"/>
  <c r="P909" i="13"/>
  <c r="P910" i="13"/>
  <c r="P911" i="13"/>
  <c r="P912" i="13"/>
  <c r="P913" i="13"/>
  <c r="P914" i="13"/>
  <c r="P915" i="13"/>
  <c r="P916" i="13"/>
  <c r="P917" i="13"/>
  <c r="P918" i="13"/>
  <c r="P919" i="13"/>
  <c r="P920" i="13"/>
  <c r="P921" i="13"/>
  <c r="P922" i="13"/>
  <c r="P923" i="13"/>
  <c r="P924" i="13"/>
  <c r="P925" i="13"/>
  <c r="P926" i="13"/>
  <c r="P927" i="13"/>
  <c r="P928" i="13"/>
  <c r="P929" i="13"/>
  <c r="P930" i="13"/>
  <c r="P931" i="13"/>
  <c r="P932" i="13"/>
  <c r="P933" i="13"/>
  <c r="P934" i="13"/>
  <c r="P935" i="13"/>
  <c r="P936" i="13"/>
  <c r="P937" i="13"/>
  <c r="P938" i="13"/>
  <c r="P939" i="13"/>
  <c r="P940" i="13"/>
  <c r="P941" i="13"/>
  <c r="P942" i="13"/>
  <c r="P943" i="13"/>
  <c r="P944" i="13"/>
  <c r="P945" i="13"/>
  <c r="P946" i="13"/>
  <c r="P947" i="13"/>
  <c r="P948" i="13"/>
  <c r="P949" i="13"/>
  <c r="P950" i="13"/>
  <c r="P951" i="13"/>
  <c r="P952" i="13"/>
  <c r="P953" i="13"/>
  <c r="P954" i="13"/>
  <c r="P955" i="13"/>
  <c r="P956" i="13"/>
  <c r="P957" i="13"/>
  <c r="P958" i="13"/>
  <c r="P959" i="13"/>
  <c r="P960" i="13"/>
  <c r="P961" i="13"/>
  <c r="P962" i="13"/>
  <c r="P963" i="13"/>
  <c r="P964" i="13"/>
  <c r="P965" i="13"/>
  <c r="P966" i="13"/>
  <c r="P967" i="13"/>
  <c r="P968" i="13"/>
  <c r="P969" i="13"/>
  <c r="P970" i="13"/>
  <c r="P971" i="13"/>
  <c r="P972" i="13"/>
  <c r="P973" i="13"/>
  <c r="P974" i="13"/>
  <c r="P975" i="13"/>
  <c r="P976" i="13"/>
  <c r="P977" i="13"/>
  <c r="P978" i="13"/>
  <c r="P979" i="13"/>
  <c r="P980" i="13"/>
  <c r="P981" i="13"/>
  <c r="P982" i="13"/>
  <c r="P983" i="13"/>
  <c r="P984" i="13"/>
  <c r="P985" i="13"/>
  <c r="P986" i="13"/>
  <c r="P987" i="13"/>
  <c r="P988" i="13"/>
  <c r="P989" i="13"/>
  <c r="P990" i="13"/>
  <c r="P991" i="13"/>
  <c r="P992" i="13"/>
  <c r="P993" i="13"/>
  <c r="P994" i="13"/>
  <c r="P995" i="13"/>
  <c r="P996" i="13"/>
  <c r="P997" i="13"/>
  <c r="P998" i="13"/>
  <c r="P999" i="13"/>
  <c r="P1000" i="13"/>
  <c r="P1001" i="13"/>
  <c r="P1002" i="13"/>
  <c r="P1003" i="13"/>
  <c r="P1004" i="13"/>
  <c r="P1005" i="13"/>
  <c r="P1006" i="13"/>
  <c r="P1007" i="13"/>
  <c r="P1008" i="13"/>
  <c r="P1009" i="13"/>
  <c r="P1010" i="13"/>
  <c r="P1011" i="13"/>
  <c r="P1012" i="13"/>
  <c r="P1013" i="13"/>
  <c r="P1014" i="13"/>
  <c r="P1015" i="13"/>
  <c r="P1016" i="13"/>
  <c r="P1017" i="13"/>
  <c r="P1018" i="13"/>
  <c r="P1019" i="13"/>
  <c r="P1020" i="13"/>
  <c r="P1021" i="13"/>
  <c r="P1022" i="13"/>
  <c r="P1023" i="13"/>
  <c r="P1024" i="13"/>
  <c r="P1025" i="13"/>
  <c r="P1026" i="13"/>
  <c r="P1027" i="13"/>
  <c r="P1028" i="13"/>
  <c r="P1029" i="13"/>
  <c r="P1030" i="13"/>
  <c r="P1031" i="13"/>
  <c r="P1032" i="13"/>
  <c r="P1033" i="13"/>
  <c r="P1034" i="13"/>
  <c r="P1035" i="13"/>
  <c r="P1036" i="13"/>
  <c r="P1037" i="13"/>
  <c r="P1038" i="13"/>
  <c r="P1039" i="13"/>
  <c r="P1040" i="13"/>
  <c r="P1041" i="13"/>
  <c r="P1042" i="13"/>
  <c r="P1043" i="13"/>
  <c r="P1044" i="13"/>
  <c r="P1045" i="13"/>
  <c r="P1046" i="13"/>
  <c r="P1047" i="13"/>
  <c r="P1048" i="13"/>
  <c r="P1049" i="13"/>
  <c r="P1050" i="13"/>
  <c r="P1051" i="13"/>
  <c r="P1052" i="13"/>
  <c r="P1053" i="13"/>
  <c r="P1054" i="13"/>
  <c r="P1055" i="13"/>
  <c r="P1056" i="13"/>
  <c r="P1057" i="13"/>
  <c r="P1058" i="13"/>
  <c r="P1059" i="13"/>
  <c r="P1060" i="13"/>
  <c r="P1061" i="13"/>
  <c r="P1062" i="13"/>
  <c r="P1063" i="13"/>
  <c r="P1064" i="13"/>
  <c r="P1065" i="13"/>
  <c r="P1066" i="13"/>
  <c r="P1067" i="13"/>
  <c r="P1068" i="13"/>
  <c r="P1069" i="13"/>
  <c r="P1070" i="13"/>
  <c r="P1071" i="13"/>
  <c r="P1072" i="13"/>
  <c r="P1073" i="13"/>
  <c r="P1074" i="13"/>
  <c r="P1075" i="13"/>
  <c r="P1076" i="13"/>
  <c r="P1077" i="13"/>
  <c r="P1078" i="13"/>
  <c r="P1079" i="13"/>
  <c r="P1080" i="13"/>
  <c r="P1081" i="13"/>
  <c r="P1082" i="13"/>
  <c r="P1083" i="13"/>
  <c r="P1084" i="13"/>
  <c r="P1085" i="13"/>
  <c r="P1086" i="13"/>
  <c r="P1087" i="13"/>
  <c r="P1088" i="13"/>
  <c r="P1089" i="13"/>
  <c r="P1090" i="13"/>
  <c r="P1091" i="13"/>
  <c r="P1092" i="13"/>
  <c r="P1093" i="13"/>
  <c r="P1094" i="13"/>
  <c r="P1095" i="13"/>
  <c r="P1096" i="13"/>
  <c r="P1097" i="13"/>
  <c r="P1098" i="13"/>
  <c r="P1099" i="13"/>
  <c r="P1100" i="13"/>
  <c r="P1101" i="13"/>
  <c r="P1102" i="13"/>
  <c r="P1103" i="13"/>
  <c r="P1104" i="13"/>
  <c r="P1105" i="13"/>
  <c r="P1106" i="13"/>
  <c r="P1107" i="13"/>
  <c r="P1108" i="13"/>
  <c r="P1109" i="13"/>
  <c r="P1110" i="13"/>
  <c r="P1111" i="13"/>
  <c r="P1112" i="13"/>
  <c r="P1113" i="13"/>
  <c r="P1114" i="13"/>
  <c r="P1115" i="13"/>
  <c r="R15" i="13"/>
  <c r="P16" i="13"/>
  <c r="P15" i="13"/>
  <c r="P14" i="13"/>
  <c r="R14" i="13" s="1"/>
  <c r="Q15" i="13" l="1"/>
  <c r="Q16" i="13" l="1"/>
  <c r="R16" i="13"/>
  <c r="Q17" i="13" l="1"/>
  <c r="R17" i="13"/>
  <c r="Q18" i="13" l="1"/>
  <c r="R18" i="13"/>
  <c r="Q19" i="13" l="1"/>
  <c r="R19" i="13"/>
  <c r="Q20" i="13" l="1"/>
  <c r="R20" i="13"/>
  <c r="Q21" i="13" l="1"/>
  <c r="R21" i="13"/>
  <c r="Q22" i="13" l="1"/>
  <c r="R22" i="13"/>
  <c r="Q23" i="13" l="1"/>
  <c r="R23" i="13"/>
  <c r="Q24" i="13" l="1"/>
  <c r="R24" i="13"/>
  <c r="Q25" i="13" l="1"/>
  <c r="R25" i="13"/>
  <c r="Q26" i="13" l="1"/>
  <c r="R26" i="13"/>
  <c r="R27" i="13" l="1"/>
  <c r="Q27" i="13"/>
  <c r="Q28" i="13" l="1"/>
  <c r="R28" i="13"/>
  <c r="Q29" i="13" l="1"/>
  <c r="R29" i="13"/>
  <c r="Q30" i="13" l="1"/>
  <c r="R30" i="13"/>
  <c r="R31" i="13" l="1"/>
  <c r="Q31" i="13"/>
  <c r="Q32" i="13" l="1"/>
  <c r="R32" i="13"/>
  <c r="Q33" i="13" l="1"/>
  <c r="R33" i="13"/>
  <c r="Q34" i="13" l="1"/>
  <c r="R34" i="13"/>
  <c r="R35" i="13" l="1"/>
  <c r="Q35" i="13"/>
  <c r="Q36" i="13" l="1"/>
  <c r="R36" i="13"/>
  <c r="Q37" i="13" l="1"/>
  <c r="R37" i="13"/>
  <c r="Q38" i="13" l="1"/>
  <c r="R38" i="13"/>
  <c r="R39" i="13" l="1"/>
  <c r="Q39" i="13"/>
  <c r="Q40" i="13" l="1"/>
  <c r="R40" i="13"/>
  <c r="B3" i="56"/>
  <c r="Q41" i="13" l="1"/>
  <c r="R41" i="13"/>
  <c r="B2" i="56"/>
  <c r="E46" i="8" s="1"/>
  <c r="C1" i="55"/>
  <c r="A11" i="55"/>
  <c r="B11" i="55" s="1"/>
  <c r="C11" i="55" s="1"/>
  <c r="B13" i="55"/>
  <c r="C13" i="55"/>
  <c r="D13" i="55"/>
  <c r="J14" i="55"/>
  <c r="J15" i="55" s="1"/>
  <c r="J16" i="55" s="1"/>
  <c r="J17" i="55" s="1"/>
  <c r="J18" i="55" s="1"/>
  <c r="J19" i="55" s="1"/>
  <c r="A17" i="55"/>
  <c r="B19" i="55"/>
  <c r="C19" i="55"/>
  <c r="D19" i="55"/>
  <c r="A23" i="55"/>
  <c r="B23" i="55" s="1"/>
  <c r="C23" i="55" s="1"/>
  <c r="B25" i="55"/>
  <c r="C25" i="55"/>
  <c r="D25" i="55"/>
  <c r="A29" i="55"/>
  <c r="B29" i="55" s="1"/>
  <c r="C29" i="55" s="1"/>
  <c r="B31" i="55"/>
  <c r="C31" i="55"/>
  <c r="D31" i="55"/>
  <c r="A35" i="55"/>
  <c r="B35" i="55" s="1"/>
  <c r="C35" i="55" s="1"/>
  <c r="B37" i="55"/>
  <c r="C37" i="55"/>
  <c r="D37" i="55"/>
  <c r="F43" i="55"/>
  <c r="A45" i="55"/>
  <c r="A46" i="55"/>
  <c r="A47" i="55"/>
  <c r="A48" i="55"/>
  <c r="A49" i="55"/>
  <c r="A50" i="55"/>
  <c r="A51" i="55"/>
  <c r="A52" i="55"/>
  <c r="A53" i="55"/>
  <c r="A54" i="55"/>
  <c r="A55" i="55"/>
  <c r="A56" i="55"/>
  <c r="A57" i="55"/>
  <c r="A58" i="55"/>
  <c r="A59" i="55"/>
  <c r="A60" i="55"/>
  <c r="A61" i="55"/>
  <c r="A62" i="55"/>
  <c r="A63" i="55"/>
  <c r="A64" i="55"/>
  <c r="A65" i="55"/>
  <c r="A66" i="55"/>
  <c r="A67" i="55"/>
  <c r="A68" i="55"/>
  <c r="A69" i="55"/>
  <c r="A70" i="55"/>
  <c r="A71" i="55"/>
  <c r="A72" i="55"/>
  <c r="A73" i="55"/>
  <c r="A74" i="55"/>
  <c r="A75" i="55"/>
  <c r="A76" i="55"/>
  <c r="A77" i="55"/>
  <c r="A78" i="55"/>
  <c r="A79" i="55"/>
  <c r="A80" i="55"/>
  <c r="A81" i="55"/>
  <c r="A82" i="55"/>
  <c r="A83" i="55"/>
  <c r="A84" i="55"/>
  <c r="A85" i="55"/>
  <c r="A86" i="55"/>
  <c r="A87" i="55"/>
  <c r="A88" i="55"/>
  <c r="A89" i="55"/>
  <c r="A90" i="55"/>
  <c r="A91" i="55"/>
  <c r="A92" i="55"/>
  <c r="A93" i="55"/>
  <c r="A94" i="55"/>
  <c r="A95" i="55"/>
  <c r="A96" i="55"/>
  <c r="A97" i="55"/>
  <c r="A98" i="55"/>
  <c r="A99" i="55"/>
  <c r="A100" i="55"/>
  <c r="A101" i="55"/>
  <c r="A102" i="55"/>
  <c r="A103" i="55"/>
  <c r="A104" i="55"/>
  <c r="A105" i="55"/>
  <c r="A106" i="55"/>
  <c r="A107" i="55"/>
  <c r="A108" i="55"/>
  <c r="A109" i="55"/>
  <c r="A110" i="55"/>
  <c r="A111" i="55"/>
  <c r="A112" i="55"/>
  <c r="A113" i="55"/>
  <c r="A114" i="55"/>
  <c r="A115" i="55"/>
  <c r="A116" i="55"/>
  <c r="A117" i="55"/>
  <c r="A118" i="55"/>
  <c r="A119" i="55"/>
  <c r="A120" i="55"/>
  <c r="A121" i="55"/>
  <c r="A122" i="55"/>
  <c r="A123" i="55"/>
  <c r="A124" i="55"/>
  <c r="A125" i="55"/>
  <c r="A126" i="55"/>
  <c r="A127" i="55"/>
  <c r="A128" i="55"/>
  <c r="A129" i="55"/>
  <c r="A130" i="55"/>
  <c r="A131" i="55"/>
  <c r="A132" i="55"/>
  <c r="A133" i="55"/>
  <c r="A134" i="55"/>
  <c r="A135" i="55"/>
  <c r="A136" i="55"/>
  <c r="A137" i="55"/>
  <c r="A138" i="55"/>
  <c r="A139" i="55"/>
  <c r="A140" i="55"/>
  <c r="A141" i="55"/>
  <c r="A142" i="55"/>
  <c r="A143" i="55"/>
  <c r="A144" i="55"/>
  <c r="A145" i="55"/>
  <c r="A146" i="55"/>
  <c r="A147" i="55"/>
  <c r="A148" i="55"/>
  <c r="A149" i="55"/>
  <c r="A150" i="55"/>
  <c r="A151" i="55"/>
  <c r="A152" i="55"/>
  <c r="A153" i="55"/>
  <c r="A154" i="55"/>
  <c r="A155" i="55"/>
  <c r="A156" i="55"/>
  <c r="A157" i="55"/>
  <c r="A158" i="55"/>
  <c r="A159" i="55"/>
  <c r="A160" i="55"/>
  <c r="A161" i="55"/>
  <c r="A162" i="55"/>
  <c r="A163" i="55"/>
  <c r="A164" i="55"/>
  <c r="A165" i="55"/>
  <c r="A166" i="55"/>
  <c r="A167" i="55"/>
  <c r="A168" i="55"/>
  <c r="A169" i="55"/>
  <c r="A170" i="55"/>
  <c r="A171" i="55"/>
  <c r="A172" i="55"/>
  <c r="A173" i="55"/>
  <c r="A174" i="55"/>
  <c r="A175" i="55"/>
  <c r="A176" i="55"/>
  <c r="A177" i="55"/>
  <c r="A178" i="55"/>
  <c r="A179" i="55"/>
  <c r="A180" i="55"/>
  <c r="A181" i="55"/>
  <c r="A182" i="55"/>
  <c r="A183" i="55"/>
  <c r="A184" i="55"/>
  <c r="A185" i="55"/>
  <c r="A186" i="55"/>
  <c r="A187" i="55"/>
  <c r="A188" i="55"/>
  <c r="A189" i="55"/>
  <c r="A190" i="55"/>
  <c r="A191" i="55"/>
  <c r="A192" i="55"/>
  <c r="A193" i="55"/>
  <c r="A194" i="55"/>
  <c r="A195" i="55"/>
  <c r="A196" i="55"/>
  <c r="A197" i="55"/>
  <c r="A198" i="55"/>
  <c r="A199" i="55"/>
  <c r="A200" i="55"/>
  <c r="A201" i="55"/>
  <c r="A202" i="55"/>
  <c r="A203" i="55"/>
  <c r="A204" i="55"/>
  <c r="A205" i="55"/>
  <c r="A206" i="55"/>
  <c r="A207" i="55"/>
  <c r="A208" i="55"/>
  <c r="A209" i="55"/>
  <c r="A210" i="55"/>
  <c r="A211" i="55"/>
  <c r="A212" i="55"/>
  <c r="A213" i="55"/>
  <c r="A214" i="55"/>
  <c r="A215" i="55"/>
  <c r="A216" i="55"/>
  <c r="A217" i="55"/>
  <c r="A218" i="55"/>
  <c r="A219" i="55"/>
  <c r="A220" i="55"/>
  <c r="A221" i="55"/>
  <c r="A222" i="55"/>
  <c r="A223" i="55"/>
  <c r="A224" i="55"/>
  <c r="A225" i="55"/>
  <c r="A226" i="55"/>
  <c r="A227" i="55"/>
  <c r="A228" i="55"/>
  <c r="A229" i="55"/>
  <c r="A230" i="55"/>
  <c r="A231" i="55"/>
  <c r="A232" i="55"/>
  <c r="A233" i="55"/>
  <c r="A234" i="55"/>
  <c r="A235" i="55"/>
  <c r="A236" i="55"/>
  <c r="A237" i="55"/>
  <c r="A238" i="55"/>
  <c r="A239" i="55"/>
  <c r="A240" i="55"/>
  <c r="A241" i="55"/>
  <c r="A242" i="55"/>
  <c r="A243" i="55"/>
  <c r="A244" i="55"/>
  <c r="A245" i="55"/>
  <c r="A246" i="55"/>
  <c r="A247" i="55"/>
  <c r="A248" i="55"/>
  <c r="A249" i="55"/>
  <c r="A250" i="55"/>
  <c r="A251" i="55"/>
  <c r="A252" i="55"/>
  <c r="A253" i="55"/>
  <c r="A254" i="55"/>
  <c r="A255" i="55"/>
  <c r="A256" i="55"/>
  <c r="A257" i="55"/>
  <c r="A258" i="55"/>
  <c r="A259" i="55"/>
  <c r="A260" i="55"/>
  <c r="A261" i="55"/>
  <c r="A262" i="55"/>
  <c r="A263" i="55"/>
  <c r="A264" i="55"/>
  <c r="A265" i="55"/>
  <c r="A266" i="55"/>
  <c r="A267" i="55"/>
  <c r="A268" i="55"/>
  <c r="A269" i="55"/>
  <c r="A270" i="55"/>
  <c r="A271" i="55"/>
  <c r="A272" i="55"/>
  <c r="A273" i="55"/>
  <c r="A274" i="55"/>
  <c r="A275" i="55"/>
  <c r="A276" i="55"/>
  <c r="A277" i="55"/>
  <c r="A278" i="55"/>
  <c r="A279" i="55"/>
  <c r="A280" i="55"/>
  <c r="A281" i="55"/>
  <c r="A282" i="55"/>
  <c r="A283" i="55"/>
  <c r="A284" i="55"/>
  <c r="D303" i="55"/>
  <c r="E303" i="55"/>
  <c r="F303" i="55"/>
  <c r="G303" i="55"/>
  <c r="H303" i="55"/>
  <c r="I303" i="55"/>
  <c r="J303" i="55"/>
  <c r="K303" i="55"/>
  <c r="L303" i="55"/>
  <c r="M303" i="55"/>
  <c r="N303" i="55"/>
  <c r="O303" i="55"/>
  <c r="P303" i="55"/>
  <c r="Q303" i="55"/>
  <c r="E304" i="55"/>
  <c r="F304" i="55"/>
  <c r="G304" i="55"/>
  <c r="I304" i="55"/>
  <c r="J304" i="55"/>
  <c r="K304" i="55"/>
  <c r="L304" i="55"/>
  <c r="M304" i="55"/>
  <c r="N304" i="55"/>
  <c r="O304" i="55"/>
  <c r="P304" i="55"/>
  <c r="Q304" i="55"/>
  <c r="E305" i="55"/>
  <c r="F305" i="55"/>
  <c r="G305" i="55"/>
  <c r="I305" i="55"/>
  <c r="J305" i="55"/>
  <c r="K305" i="55"/>
  <c r="L305" i="55"/>
  <c r="M305" i="55"/>
  <c r="N305" i="55"/>
  <c r="O305" i="55"/>
  <c r="P305" i="55"/>
  <c r="Q305" i="55"/>
  <c r="F313" i="55"/>
  <c r="E321" i="55"/>
  <c r="E335" i="55" s="1"/>
  <c r="E327" i="55"/>
  <c r="D338" i="55"/>
  <c r="E359" i="55" s="1"/>
  <c r="D340" i="55"/>
  <c r="D341" i="55" s="1"/>
  <c r="E340" i="55"/>
  <c r="E348" i="55"/>
  <c r="E378" i="55"/>
  <c r="E385" i="55"/>
  <c r="E400" i="55" s="1"/>
  <c r="B17" i="55" l="1"/>
  <c r="C17" i="55" s="1"/>
  <c r="B20" i="55" s="1"/>
  <c r="C403" i="55"/>
  <c r="E381" i="55"/>
  <c r="B14" i="55"/>
  <c r="R42" i="13"/>
  <c r="Q42" i="13"/>
  <c r="C47" i="8"/>
  <c r="E392" i="55"/>
  <c r="D14" i="55"/>
  <c r="K309" i="55" s="1"/>
  <c r="K311" i="55" s="1"/>
  <c r="D26" i="55"/>
  <c r="C32" i="55"/>
  <c r="M309" i="55" s="1"/>
  <c r="M311" i="55" s="1"/>
  <c r="B38" i="55"/>
  <c r="O309" i="55" s="1"/>
  <c r="O311" i="55" s="1"/>
  <c r="C14" i="55"/>
  <c r="J309" i="55" s="1"/>
  <c r="J311" i="55" s="1"/>
  <c r="I309" i="55"/>
  <c r="I311" i="55" s="1"/>
  <c r="C38" i="55"/>
  <c r="P309" i="55" s="1"/>
  <c r="P311" i="55" s="1"/>
  <c r="D38" i="55"/>
  <c r="Q309" i="55" s="1"/>
  <c r="Q311" i="55" s="1"/>
  <c r="B32" i="55"/>
  <c r="L309" i="55" s="1"/>
  <c r="L311" i="55" s="1"/>
  <c r="D32" i="55"/>
  <c r="N309" i="55" s="1"/>
  <c r="N311" i="55" s="1"/>
  <c r="C26" i="55"/>
  <c r="B26" i="55"/>
  <c r="D20" i="55"/>
  <c r="G309" i="55" s="1"/>
  <c r="C20" i="55"/>
  <c r="E367" i="55"/>
  <c r="H637" i="14"/>
  <c r="Q43" i="13" l="1"/>
  <c r="R43" i="13"/>
  <c r="G311" i="55"/>
  <c r="E309" i="55"/>
  <c r="E311" i="55" s="1"/>
  <c r="F309" i="55"/>
  <c r="F311" i="55" s="1"/>
  <c r="Q44" i="13" l="1"/>
  <c r="R44" i="13"/>
  <c r="B4" i="54"/>
  <c r="H308" i="14"/>
  <c r="AN8" i="14"/>
  <c r="AO8" i="14"/>
  <c r="AP8" i="14"/>
  <c r="Q45" i="13" l="1"/>
  <c r="R45" i="13"/>
  <c r="AP70" i="14"/>
  <c r="R46" i="13" l="1"/>
  <c r="Q46" i="13"/>
  <c r="I509" i="14"/>
  <c r="I508" i="14"/>
  <c r="I175" i="14"/>
  <c r="I319" i="14"/>
  <c r="I318" i="14"/>
  <c r="Q47" i="13" l="1"/>
  <c r="R47" i="13"/>
  <c r="C20" i="23"/>
  <c r="C45" i="23"/>
  <c r="Q48" i="13" l="1"/>
  <c r="R48" i="13"/>
  <c r="J20" i="36"/>
  <c r="Q49" i="13" l="1"/>
  <c r="R49" i="13"/>
  <c r="C24" i="36"/>
  <c r="C20" i="36"/>
  <c r="R50" i="13" l="1"/>
  <c r="Q50" i="13"/>
  <c r="F54" i="23"/>
  <c r="F46" i="36"/>
  <c r="F42" i="36"/>
  <c r="F55" i="48"/>
  <c r="F53" i="48"/>
  <c r="F53" i="23"/>
  <c r="F49" i="23"/>
  <c r="F22" i="24"/>
  <c r="Q51" i="13" l="1"/>
  <c r="R51" i="13"/>
  <c r="R69" i="22"/>
  <c r="R68" i="22"/>
  <c r="R28" i="22"/>
  <c r="R27" i="22"/>
  <c r="R53" i="22"/>
  <c r="R52" i="22"/>
  <c r="R51" i="22"/>
  <c r="R50" i="22"/>
  <c r="R49" i="22"/>
  <c r="Q52" i="13" l="1"/>
  <c r="R52" i="13"/>
  <c r="H480" i="14"/>
  <c r="Q53" i="13" l="1"/>
  <c r="R53" i="13"/>
  <c r="C38" i="36"/>
  <c r="C50" i="48"/>
  <c r="R54" i="13" l="1"/>
  <c r="Q54" i="13"/>
  <c r="P41" i="25"/>
  <c r="O41" i="25"/>
  <c r="N41" i="25"/>
  <c r="AD30" i="14"/>
  <c r="Q55" i="13" l="1"/>
  <c r="R55" i="13"/>
  <c r="AM30" i="14"/>
  <c r="Q56" i="13" l="1"/>
  <c r="R56" i="13"/>
  <c r="D5" i="54"/>
  <c r="Q57" i="13" l="1"/>
  <c r="R57" i="13"/>
  <c r="H229" i="14"/>
  <c r="R58" i="13" l="1"/>
  <c r="Q58" i="13"/>
  <c r="H496" i="14"/>
  <c r="Q59" i="13" l="1"/>
  <c r="R59" i="13"/>
  <c r="I14" i="37"/>
  <c r="Q60" i="13" l="1"/>
  <c r="R60" i="13"/>
  <c r="Q61" i="13" l="1"/>
  <c r="R61" i="13"/>
  <c r="E80" i="14"/>
  <c r="E81" i="14" s="1"/>
  <c r="E82" i="14" s="1"/>
  <c r="E83" i="14" s="1"/>
  <c r="E84" i="14" s="1"/>
  <c r="E85" i="14" s="1"/>
  <c r="E86" i="14" s="1"/>
  <c r="E87" i="14" s="1"/>
  <c r="E88" i="14" s="1"/>
  <c r="E89" i="14" s="1"/>
  <c r="E90" i="14" s="1"/>
  <c r="E91" i="14" s="1"/>
  <c r="E92" i="14" s="1"/>
  <c r="E93" i="14" s="1"/>
  <c r="R62" i="13" l="1"/>
  <c r="Q62" i="13"/>
  <c r="AD52" i="14"/>
  <c r="AD53" i="14"/>
  <c r="AD54" i="14"/>
  <c r="Q63" i="13" l="1"/>
  <c r="R63" i="13"/>
  <c r="B28" i="30"/>
  <c r="B29" i="30"/>
  <c r="N29" i="30" s="1"/>
  <c r="B30" i="30"/>
  <c r="N30" i="30"/>
  <c r="N28" i="30"/>
  <c r="N63" i="25"/>
  <c r="P65" i="25"/>
  <c r="O65" i="25"/>
  <c r="N65" i="25"/>
  <c r="P64" i="25"/>
  <c r="O64" i="25"/>
  <c r="N64" i="25"/>
  <c r="P63" i="25"/>
  <c r="O63" i="25"/>
  <c r="Q64" i="13" l="1"/>
  <c r="R64" i="13"/>
  <c r="C43" i="23"/>
  <c r="Q65" i="13" l="1"/>
  <c r="R65" i="13"/>
  <c r="C62" i="2"/>
  <c r="B62" i="2"/>
  <c r="C61" i="2"/>
  <c r="B61" i="2"/>
  <c r="C24" i="2"/>
  <c r="R66" i="13" l="1"/>
  <c r="Q66" i="13"/>
  <c r="Q67" i="13" l="1"/>
  <c r="R67" i="13"/>
  <c r="C50" i="36"/>
  <c r="C46" i="36"/>
  <c r="C42" i="36"/>
  <c r="C55" i="48"/>
  <c r="C53" i="48"/>
  <c r="C53" i="23"/>
  <c r="C49" i="23"/>
  <c r="Q68" i="13" l="1"/>
  <c r="R68" i="13"/>
  <c r="C57" i="23"/>
  <c r="Q69" i="13" l="1"/>
  <c r="R69" i="13"/>
  <c r="G24" i="36"/>
  <c r="F47" i="36"/>
  <c r="H47" i="36"/>
  <c r="G47" i="36"/>
  <c r="H54" i="23"/>
  <c r="G54" i="23"/>
  <c r="R70" i="13" l="1"/>
  <c r="Q70" i="13"/>
  <c r="H459" i="14"/>
  <c r="G414" i="14"/>
  <c r="H417" i="14" s="1"/>
  <c r="Q71" i="13" l="1"/>
  <c r="R71" i="13"/>
  <c r="H414" i="14"/>
  <c r="F59" i="24" s="1"/>
  <c r="Q72" i="13" l="1"/>
  <c r="R72" i="13"/>
  <c r="H175" i="14"/>
  <c r="Q73" i="13" l="1"/>
  <c r="R73" i="13"/>
  <c r="D80" i="22"/>
  <c r="R136" i="45"/>
  <c r="R96" i="45"/>
  <c r="R59" i="45"/>
  <c r="R74" i="13" l="1"/>
  <c r="Q74" i="13"/>
  <c r="I2" i="16"/>
  <c r="J2" i="16"/>
  <c r="K2" i="16"/>
  <c r="L2" i="16"/>
  <c r="Q75" i="13" l="1"/>
  <c r="R75" i="13"/>
  <c r="R48" i="45"/>
  <c r="G48" i="45" s="1"/>
  <c r="Q76" i="13" l="1"/>
  <c r="R76" i="13"/>
  <c r="H666" i="14"/>
  <c r="H656" i="14"/>
  <c r="Q77" i="13" l="1"/>
  <c r="R77" i="13"/>
  <c r="I119" i="22"/>
  <c r="R78" i="13" l="1"/>
  <c r="Q78" i="13"/>
  <c r="R127" i="45"/>
  <c r="G127" i="45" s="1"/>
  <c r="Q79" i="13" l="1"/>
  <c r="R79" i="13"/>
  <c r="C68" i="22"/>
  <c r="C69" i="22" s="1"/>
  <c r="Q80" i="13" l="1"/>
  <c r="R80" i="13"/>
  <c r="H591" i="14"/>
  <c r="H583" i="14"/>
  <c r="Q81" i="13" l="1"/>
  <c r="R81" i="13"/>
  <c r="T16" i="42"/>
  <c r="S16" i="42"/>
  <c r="R16" i="42"/>
  <c r="T15" i="42"/>
  <c r="S15" i="42"/>
  <c r="R15" i="42"/>
  <c r="T14" i="42"/>
  <c r="S14" i="42"/>
  <c r="R14" i="42"/>
  <c r="T13" i="42"/>
  <c r="S13" i="42"/>
  <c r="R13" i="42"/>
  <c r="T12" i="42"/>
  <c r="S12" i="42"/>
  <c r="R12" i="42"/>
  <c r="T11" i="42"/>
  <c r="S11" i="42"/>
  <c r="R11" i="42"/>
  <c r="T2" i="42"/>
  <c r="S2" i="42"/>
  <c r="R2" i="42"/>
  <c r="R82" i="13" l="1"/>
  <c r="Q82" i="13"/>
  <c r="C36" i="27"/>
  <c r="E37" i="27" s="1"/>
  <c r="C29" i="27"/>
  <c r="E30" i="27"/>
  <c r="E70" i="35" s="1"/>
  <c r="Q83" i="13" l="1"/>
  <c r="R83" i="13"/>
  <c r="A227" i="34"/>
  <c r="A242" i="34"/>
  <c r="Q84" i="13" l="1"/>
  <c r="R84" i="13"/>
  <c r="D62" i="35"/>
  <c r="E62" i="35" s="1"/>
  <c r="Q85" i="13" l="1"/>
  <c r="R85" i="13"/>
  <c r="C169" i="2"/>
  <c r="B169" i="2"/>
  <c r="C164" i="2"/>
  <c r="C163" i="2"/>
  <c r="C162" i="2"/>
  <c r="C161" i="2"/>
  <c r="C160" i="2"/>
  <c r="B164" i="2"/>
  <c r="B160" i="2"/>
  <c r="B159" i="2"/>
  <c r="C140" i="2"/>
  <c r="B140" i="2"/>
  <c r="B139" i="2"/>
  <c r="C119" i="2"/>
  <c r="C118" i="2"/>
  <c r="C117" i="2"/>
  <c r="B119" i="2"/>
  <c r="B118" i="2"/>
  <c r="B117" i="2"/>
  <c r="B116" i="2"/>
  <c r="C58" i="2"/>
  <c r="C57" i="2"/>
  <c r="C56" i="2"/>
  <c r="C55" i="2"/>
  <c r="C54" i="2"/>
  <c r="B58" i="2"/>
  <c r="B55" i="2"/>
  <c r="B54" i="2"/>
  <c r="B53" i="2"/>
  <c r="C1" i="17"/>
  <c r="R86" i="13" l="1"/>
  <c r="Q86" i="13"/>
  <c r="N116" i="25"/>
  <c r="O116" i="25"/>
  <c r="P116" i="25"/>
  <c r="N117" i="25"/>
  <c r="O117" i="25"/>
  <c r="P117" i="25"/>
  <c r="P115" i="25"/>
  <c r="O115" i="25"/>
  <c r="N115" i="25"/>
  <c r="Q87" i="13" l="1"/>
  <c r="R87" i="13"/>
  <c r="P92" i="25"/>
  <c r="P91" i="25"/>
  <c r="O92" i="25"/>
  <c r="O91" i="25"/>
  <c r="N92" i="25"/>
  <c r="N91" i="25"/>
  <c r="Q88" i="13" l="1"/>
  <c r="R88" i="13"/>
  <c r="D54" i="26"/>
  <c r="Q89" i="13" l="1"/>
  <c r="R89" i="13"/>
  <c r="H505" i="14"/>
  <c r="R90" i="13" l="1"/>
  <c r="Q90" i="13"/>
  <c r="R122" i="45"/>
  <c r="G122" i="45" s="1"/>
  <c r="R119" i="45"/>
  <c r="G119" i="45" s="1"/>
  <c r="R91" i="13" l="1"/>
  <c r="Q91" i="13"/>
  <c r="K234" i="22"/>
  <c r="J234" i="22"/>
  <c r="I234" i="22"/>
  <c r="G231" i="22"/>
  <c r="Q92" i="13" l="1"/>
  <c r="R92" i="13"/>
  <c r="K151" i="22"/>
  <c r="J151" i="22"/>
  <c r="I151" i="22"/>
  <c r="R93" i="13" l="1"/>
  <c r="Q93" i="13"/>
  <c r="B162" i="2"/>
  <c r="B161" i="2"/>
  <c r="Q94" i="13" l="1"/>
  <c r="R94" i="13"/>
  <c r="C31" i="37"/>
  <c r="B163" i="2"/>
  <c r="D2" i="16"/>
  <c r="E2" i="16"/>
  <c r="Q95" i="13" l="1"/>
  <c r="R95" i="13"/>
  <c r="R41" i="45"/>
  <c r="G41" i="45" s="1"/>
  <c r="R38" i="45"/>
  <c r="I320" i="14"/>
  <c r="H320" i="14"/>
  <c r="G132" i="22"/>
  <c r="G148" i="22"/>
  <c r="B56" i="2"/>
  <c r="Q96" i="13" l="1"/>
  <c r="R96" i="13"/>
  <c r="C35" i="24"/>
  <c r="B57" i="2"/>
  <c r="H281" i="14"/>
  <c r="Q97" i="13" l="1"/>
  <c r="R97" i="13"/>
  <c r="G217" i="22"/>
  <c r="G201" i="22"/>
  <c r="G98" i="22"/>
  <c r="G83" i="22"/>
  <c r="G168" i="22"/>
  <c r="G116" i="22"/>
  <c r="R98" i="13" l="1"/>
  <c r="Q98" i="13"/>
  <c r="M45" i="48"/>
  <c r="C48" i="48" s="1"/>
  <c r="R87" i="45"/>
  <c r="Q99" i="13" l="1"/>
  <c r="R99" i="13"/>
  <c r="G87" i="45"/>
  <c r="R126" i="45"/>
  <c r="G126" i="45" s="1"/>
  <c r="Q100" i="13" l="1"/>
  <c r="R100" i="13"/>
  <c r="R118" i="45"/>
  <c r="G118" i="45" s="1"/>
  <c r="R117" i="45"/>
  <c r="R82" i="45"/>
  <c r="R81" i="45"/>
  <c r="R37" i="45"/>
  <c r="R36" i="45"/>
  <c r="G36" i="45" s="1"/>
  <c r="Q101" i="13" l="1"/>
  <c r="R101" i="13"/>
  <c r="G37" i="45"/>
  <c r="G38" i="45"/>
  <c r="E109" i="45"/>
  <c r="F74" i="45"/>
  <c r="F73" i="45"/>
  <c r="E73" i="45" s="1"/>
  <c r="F18" i="45"/>
  <c r="F19" i="45"/>
  <c r="F20" i="45"/>
  <c r="F21" i="45"/>
  <c r="F22" i="45"/>
  <c r="F17" i="45"/>
  <c r="E17" i="45" s="1"/>
  <c r="R102" i="13" l="1"/>
  <c r="Q102" i="13"/>
  <c r="E18" i="45"/>
  <c r="E74" i="45"/>
  <c r="E19" i="45"/>
  <c r="E21" i="45"/>
  <c r="E20" i="45"/>
  <c r="E22" i="45"/>
  <c r="C130" i="2"/>
  <c r="C82" i="2"/>
  <c r="Q103" i="13" l="1"/>
  <c r="R103" i="13"/>
  <c r="R131" i="45"/>
  <c r="G131" i="45" s="1"/>
  <c r="R92" i="45"/>
  <c r="R54" i="45"/>
  <c r="R111" i="45"/>
  <c r="G103" i="45"/>
  <c r="G100" i="45"/>
  <c r="G97" i="45"/>
  <c r="G79" i="45"/>
  <c r="R23" i="45"/>
  <c r="Q104" i="13" l="1"/>
  <c r="R104" i="13"/>
  <c r="G54" i="45"/>
  <c r="G23" i="45"/>
  <c r="F23" i="45" s="1"/>
  <c r="E23" i="45" s="1"/>
  <c r="G92" i="45"/>
  <c r="J1" i="45"/>
  <c r="B1" i="2"/>
  <c r="E1" i="42"/>
  <c r="E1" i="35"/>
  <c r="H1" i="34"/>
  <c r="E1" i="29"/>
  <c r="D1" i="27"/>
  <c r="C1" i="15"/>
  <c r="D1" i="16"/>
  <c r="C1" i="30"/>
  <c r="L1" i="22"/>
  <c r="H1" i="14"/>
  <c r="C1" i="26"/>
  <c r="D1" i="25"/>
  <c r="C1" i="43"/>
  <c r="E1" i="13"/>
  <c r="F15" i="52"/>
  <c r="J14" i="52"/>
  <c r="F14" i="52"/>
  <c r="J13" i="52"/>
  <c r="F13" i="52"/>
  <c r="F12" i="52"/>
  <c r="I11" i="52"/>
  <c r="F11" i="52"/>
  <c r="K5" i="52"/>
  <c r="D5" i="52"/>
  <c r="K4" i="52"/>
  <c r="D4" i="52"/>
  <c r="D3" i="52"/>
  <c r="J5" i="37"/>
  <c r="J5" i="36"/>
  <c r="K5" i="51"/>
  <c r="J5" i="5"/>
  <c r="J5" i="48"/>
  <c r="F15" i="51"/>
  <c r="J14" i="51"/>
  <c r="F14" i="51"/>
  <c r="J13" i="51"/>
  <c r="F13" i="51"/>
  <c r="F12" i="51"/>
  <c r="I11" i="51"/>
  <c r="F11" i="51"/>
  <c r="D5" i="51"/>
  <c r="K4" i="51"/>
  <c r="D4" i="51"/>
  <c r="D3" i="51"/>
  <c r="F15" i="50"/>
  <c r="J14" i="50"/>
  <c r="F14" i="50"/>
  <c r="J13" i="50"/>
  <c r="F13" i="50"/>
  <c r="F12" i="50"/>
  <c r="I11" i="50"/>
  <c r="F11" i="50"/>
  <c r="K5" i="50"/>
  <c r="D5" i="50"/>
  <c r="K4" i="50"/>
  <c r="D4" i="50"/>
  <c r="D3" i="50"/>
  <c r="J5" i="24"/>
  <c r="J5" i="23"/>
  <c r="L2" i="54"/>
  <c r="R105" i="13" l="1"/>
  <c r="Q105" i="13"/>
  <c r="G117" i="45"/>
  <c r="R106" i="13" l="1"/>
  <c r="Q106" i="13"/>
  <c r="G82" i="45"/>
  <c r="G81" i="45"/>
  <c r="U49" i="23"/>
  <c r="R107" i="13" l="1"/>
  <c r="Q107" i="13"/>
  <c r="Q2" i="42"/>
  <c r="U2" i="42"/>
  <c r="V2" i="42"/>
  <c r="W2" i="42"/>
  <c r="Q108" i="13" l="1"/>
  <c r="R108" i="13"/>
  <c r="C73" i="23"/>
  <c r="H381" i="14"/>
  <c r="Q109" i="13" l="1"/>
  <c r="R109" i="13"/>
  <c r="A18" i="34"/>
  <c r="A55" i="34"/>
  <c r="A96" i="34"/>
  <c r="A137" i="34"/>
  <c r="A181" i="34"/>
  <c r="C4" i="24"/>
  <c r="C4" i="37"/>
  <c r="C4" i="5"/>
  <c r="Q110" i="13" l="1"/>
  <c r="R110" i="13"/>
  <c r="C3" i="48"/>
  <c r="C5" i="48"/>
  <c r="J15" i="51"/>
  <c r="W25" i="48"/>
  <c r="X25" i="48"/>
  <c r="Y25" i="48"/>
  <c r="Z25" i="48"/>
  <c r="W26" i="48"/>
  <c r="W27" i="48" s="1"/>
  <c r="X26" i="48"/>
  <c r="X27" i="48" s="1"/>
  <c r="Y26" i="48"/>
  <c r="Y27" i="48" s="1"/>
  <c r="Z26" i="48"/>
  <c r="Z27" i="48" s="1"/>
  <c r="W33" i="48"/>
  <c r="X33" i="48"/>
  <c r="Y33" i="48"/>
  <c r="Z33" i="48"/>
  <c r="W34" i="48"/>
  <c r="W35" i="48" s="1"/>
  <c r="X34" i="48"/>
  <c r="X35" i="48" s="1"/>
  <c r="Y34" i="48"/>
  <c r="Y35" i="48" s="1"/>
  <c r="Z34" i="48"/>
  <c r="Z35" i="48" s="1"/>
  <c r="Q111" i="13" l="1"/>
  <c r="R111" i="13"/>
  <c r="Y28" i="48"/>
  <c r="Y29" i="48" s="1"/>
  <c r="X36" i="48"/>
  <c r="X37" i="48" s="1"/>
  <c r="W28" i="48"/>
  <c r="W29" i="48" s="1"/>
  <c r="F26" i="48" s="1"/>
  <c r="Y36" i="48"/>
  <c r="Y37" i="48" s="1"/>
  <c r="W36" i="48"/>
  <c r="W37" i="48" s="1"/>
  <c r="X28" i="48"/>
  <c r="X29" i="48" s="1"/>
  <c r="E27" i="48" s="1"/>
  <c r="Q112" i="13" l="1"/>
  <c r="R112" i="13"/>
  <c r="J26" i="48"/>
  <c r="J36" i="48"/>
  <c r="F36" i="48"/>
  <c r="J35" i="48"/>
  <c r="F35" i="48"/>
  <c r="J34" i="48"/>
  <c r="F34" i="48"/>
  <c r="J27" i="48"/>
  <c r="F27" i="48"/>
  <c r="J28" i="48"/>
  <c r="F28" i="48"/>
  <c r="E36" i="48"/>
  <c r="Y38" i="48"/>
  <c r="Y39" i="48"/>
  <c r="W31" i="48"/>
  <c r="E26" i="48"/>
  <c r="W30" i="48"/>
  <c r="Y31" i="48"/>
  <c r="E28" i="48"/>
  <c r="Y30" i="48"/>
  <c r="X30" i="48"/>
  <c r="X31" i="48"/>
  <c r="E34" i="48"/>
  <c r="W38" i="48"/>
  <c r="W39" i="48"/>
  <c r="X39" i="48"/>
  <c r="E35" i="48"/>
  <c r="X38" i="48"/>
  <c r="I14" i="5"/>
  <c r="I14" i="24"/>
  <c r="I15" i="5"/>
  <c r="Q113" i="13" l="1"/>
  <c r="R113" i="13"/>
  <c r="I15" i="37"/>
  <c r="J15" i="52"/>
  <c r="J29" i="48"/>
  <c r="J37" i="48"/>
  <c r="AC27" i="48"/>
  <c r="I25" i="48" s="1"/>
  <c r="AC35" i="48"/>
  <c r="I33" i="48" s="1"/>
  <c r="R84" i="45"/>
  <c r="G84" i="45" s="1"/>
  <c r="R83" i="45"/>
  <c r="G83" i="45" s="1"/>
  <c r="R135" i="45"/>
  <c r="G135" i="45" s="1"/>
  <c r="R116" i="45"/>
  <c r="G116" i="45" s="1"/>
  <c r="R115" i="45"/>
  <c r="G115" i="45" s="1"/>
  <c r="R121" i="45"/>
  <c r="G121" i="45" s="1"/>
  <c r="R120" i="45"/>
  <c r="G120" i="45" s="1"/>
  <c r="H319" i="14"/>
  <c r="H318" i="14"/>
  <c r="H321" i="14"/>
  <c r="I321" i="14" s="1"/>
  <c r="R114" i="13" l="1"/>
  <c r="Q114" i="13"/>
  <c r="R104" i="45"/>
  <c r="G104" i="45" s="1"/>
  <c r="R86" i="45"/>
  <c r="G86" i="45" s="1"/>
  <c r="H121" i="14"/>
  <c r="H509" i="14"/>
  <c r="H508" i="14"/>
  <c r="H507" i="14"/>
  <c r="I507" i="14" s="1"/>
  <c r="H506" i="14"/>
  <c r="I506" i="14" s="1"/>
  <c r="H504" i="14"/>
  <c r="H503" i="14"/>
  <c r="I503" i="14" s="1"/>
  <c r="H502" i="14"/>
  <c r="I502" i="14" s="1"/>
  <c r="I101" i="22"/>
  <c r="D93" i="22"/>
  <c r="I96" i="22" s="1"/>
  <c r="G111" i="45"/>
  <c r="R113" i="45"/>
  <c r="G113" i="45" s="1"/>
  <c r="Q115" i="13" l="1"/>
  <c r="R115" i="13"/>
  <c r="F111" i="45"/>
  <c r="E111" i="45" s="1"/>
  <c r="AD8" i="14"/>
  <c r="AD46" i="14"/>
  <c r="AD47" i="14"/>
  <c r="AD48" i="14"/>
  <c r="AD49" i="14"/>
  <c r="AD50" i="14"/>
  <c r="AD51" i="14"/>
  <c r="AD55" i="14"/>
  <c r="AD56" i="14"/>
  <c r="AD57" i="14"/>
  <c r="AD58" i="14"/>
  <c r="AD59" i="14"/>
  <c r="AD60" i="14"/>
  <c r="AD61" i="14"/>
  <c r="AD62" i="14"/>
  <c r="AD63" i="14"/>
  <c r="AD64" i="14"/>
  <c r="AD65" i="14"/>
  <c r="AD66" i="14"/>
  <c r="AD67" i="14"/>
  <c r="AD68" i="14"/>
  <c r="AD69" i="14"/>
  <c r="AD70" i="14"/>
  <c r="AD71" i="14"/>
  <c r="AD72" i="14"/>
  <c r="AD73" i="14"/>
  <c r="AD74" i="14"/>
  <c r="AD75" i="14"/>
  <c r="AD76" i="14"/>
  <c r="AD39" i="14"/>
  <c r="AD40" i="14"/>
  <c r="AD41" i="14"/>
  <c r="AD42" i="14"/>
  <c r="AD43" i="14"/>
  <c r="AD44" i="14"/>
  <c r="AD45" i="14"/>
  <c r="AD26" i="14"/>
  <c r="AD27" i="14"/>
  <c r="AD28" i="14"/>
  <c r="AD29" i="14"/>
  <c r="AD31" i="14"/>
  <c r="AD32" i="14"/>
  <c r="AD33" i="14"/>
  <c r="AD34" i="14"/>
  <c r="AD35" i="14"/>
  <c r="AD36" i="14"/>
  <c r="AD37" i="14"/>
  <c r="AD38" i="14"/>
  <c r="AD14" i="14"/>
  <c r="AD15" i="14"/>
  <c r="AD16" i="14"/>
  <c r="AD17" i="14"/>
  <c r="AD18" i="14"/>
  <c r="AD19" i="14"/>
  <c r="AD20" i="14"/>
  <c r="AD21" i="14"/>
  <c r="AD22" i="14"/>
  <c r="AD23" i="14"/>
  <c r="AD24" i="14"/>
  <c r="AD25" i="14"/>
  <c r="AD13" i="14"/>
  <c r="C20" i="2"/>
  <c r="B20" i="2"/>
  <c r="Q116" i="13" l="1"/>
  <c r="R116" i="13"/>
  <c r="E10" i="13"/>
  <c r="F10" i="13"/>
  <c r="D10" i="13"/>
  <c r="Q117" i="13" l="1"/>
  <c r="R117" i="13"/>
  <c r="Z11" i="43"/>
  <c r="J15" i="50"/>
  <c r="I15" i="24"/>
  <c r="R118" i="13" l="1"/>
  <c r="Q118" i="13"/>
  <c r="H483" i="14"/>
  <c r="Q119" i="13" l="1"/>
  <c r="R119" i="13"/>
  <c r="F28" i="24"/>
  <c r="Q120" i="13" l="1"/>
  <c r="R120" i="13"/>
  <c r="F4" i="45"/>
  <c r="G4" i="45"/>
  <c r="H4" i="45"/>
  <c r="I4" i="45"/>
  <c r="J4" i="45"/>
  <c r="K4" i="45"/>
  <c r="E4" i="45"/>
  <c r="Q121" i="13" l="1"/>
  <c r="R121" i="13"/>
  <c r="D18" i="51"/>
  <c r="D18" i="50"/>
  <c r="D18" i="52"/>
  <c r="Z26" i="23"/>
  <c r="Z27" i="23" s="1"/>
  <c r="Y26" i="23"/>
  <c r="Y27" i="23" s="1"/>
  <c r="Z25" i="23"/>
  <c r="Y25" i="23"/>
  <c r="X25" i="23"/>
  <c r="W25" i="23"/>
  <c r="X26" i="23"/>
  <c r="X27" i="23" s="1"/>
  <c r="W26" i="23"/>
  <c r="W27" i="23" s="1"/>
  <c r="R122" i="13" l="1"/>
  <c r="Q122" i="13"/>
  <c r="W28" i="23"/>
  <c r="W29" i="23" s="1"/>
  <c r="J26" i="23" s="1"/>
  <c r="Y28" i="23"/>
  <c r="Y29" i="23" s="1"/>
  <c r="J28" i="23" s="1"/>
  <c r="X28" i="23"/>
  <c r="X29" i="23" s="1"/>
  <c r="R123" i="13" l="1"/>
  <c r="Q123" i="13"/>
  <c r="Y31" i="23"/>
  <c r="F28" i="23"/>
  <c r="E28" i="23"/>
  <c r="Y30" i="23"/>
  <c r="X30" i="23"/>
  <c r="F27" i="23"/>
  <c r="E27" i="23"/>
  <c r="X31" i="23"/>
  <c r="J27" i="23"/>
  <c r="J29" i="23" s="1"/>
  <c r="H235" i="14" s="1"/>
  <c r="E26" i="23"/>
  <c r="W31" i="23"/>
  <c r="F26" i="23"/>
  <c r="W30" i="23"/>
  <c r="R149" i="45"/>
  <c r="J70" i="37" s="1"/>
  <c r="G136" i="45"/>
  <c r="R107" i="45"/>
  <c r="G96" i="45"/>
  <c r="R80" i="45"/>
  <c r="G80" i="45" s="1"/>
  <c r="R75" i="45"/>
  <c r="R71" i="45"/>
  <c r="R34" i="45"/>
  <c r="G34" i="45" s="1"/>
  <c r="R42" i="45"/>
  <c r="G42" i="45" s="1"/>
  <c r="R35" i="45"/>
  <c r="G35" i="45" s="1"/>
  <c r="Q124" i="13" l="1"/>
  <c r="R124" i="13"/>
  <c r="G75" i="45"/>
  <c r="F75" i="45" s="1"/>
  <c r="E75" i="45" s="1"/>
  <c r="G149" i="45"/>
  <c r="G71" i="45"/>
  <c r="G107" i="45"/>
  <c r="R58" i="45"/>
  <c r="G58" i="45" s="1"/>
  <c r="R26" i="45"/>
  <c r="G26" i="45" s="1"/>
  <c r="AC27" i="23"/>
  <c r="I25" i="23" s="1"/>
  <c r="E22" i="15"/>
  <c r="H173" i="14"/>
  <c r="H176" i="14"/>
  <c r="I176" i="14" s="1"/>
  <c r="Q125" i="13" l="1"/>
  <c r="R125" i="13"/>
  <c r="H119" i="14"/>
  <c r="R126" i="13" l="1"/>
  <c r="Q126" i="13"/>
  <c r="H172" i="14"/>
  <c r="I172" i="14" s="1"/>
  <c r="G59" i="45"/>
  <c r="Q127" i="13" l="1"/>
  <c r="R127" i="13"/>
  <c r="C174" i="2"/>
  <c r="C172" i="2"/>
  <c r="C171" i="2"/>
  <c r="C148" i="2"/>
  <c r="C147" i="2"/>
  <c r="C146" i="2"/>
  <c r="C144" i="2"/>
  <c r="C143" i="2"/>
  <c r="C142" i="2"/>
  <c r="C158" i="2"/>
  <c r="C157" i="2"/>
  <c r="C156" i="2"/>
  <c r="C154" i="2"/>
  <c r="C153" i="2"/>
  <c r="C152" i="2"/>
  <c r="C168" i="2"/>
  <c r="C167" i="2"/>
  <c r="C166" i="2"/>
  <c r="C137" i="2"/>
  <c r="C136" i="2"/>
  <c r="C135" i="2"/>
  <c r="C133" i="2"/>
  <c r="C132" i="2"/>
  <c r="C131" i="2"/>
  <c r="C129" i="2"/>
  <c r="C128" i="2"/>
  <c r="C127" i="2"/>
  <c r="C126" i="2"/>
  <c r="C125" i="2"/>
  <c r="B174" i="2"/>
  <c r="B172" i="2"/>
  <c r="B171" i="2"/>
  <c r="B148" i="2"/>
  <c r="B147" i="2"/>
  <c r="B146" i="2"/>
  <c r="B145" i="2"/>
  <c r="B144" i="2"/>
  <c r="B143" i="2"/>
  <c r="B142" i="2"/>
  <c r="B158" i="2"/>
  <c r="B157" i="2"/>
  <c r="B156" i="2"/>
  <c r="B155" i="2"/>
  <c r="B154" i="2"/>
  <c r="B153" i="2"/>
  <c r="B152" i="2"/>
  <c r="B151" i="2"/>
  <c r="B150" i="2"/>
  <c r="B168" i="2"/>
  <c r="B167" i="2"/>
  <c r="B166" i="2"/>
  <c r="B137" i="2"/>
  <c r="B136" i="2"/>
  <c r="B135" i="2"/>
  <c r="B133" i="2"/>
  <c r="B132" i="2"/>
  <c r="B131" i="2"/>
  <c r="B130" i="2"/>
  <c r="B129" i="2"/>
  <c r="B128" i="2"/>
  <c r="B127" i="2"/>
  <c r="B126" i="2"/>
  <c r="B125" i="2"/>
  <c r="B123" i="2"/>
  <c r="C110" i="2"/>
  <c r="C109" i="2"/>
  <c r="C108" i="2"/>
  <c r="C106" i="2"/>
  <c r="C105" i="2"/>
  <c r="C104" i="2"/>
  <c r="C103" i="2"/>
  <c r="C115" i="2"/>
  <c r="C114" i="2"/>
  <c r="C113" i="2"/>
  <c r="C101" i="2"/>
  <c r="C98" i="2"/>
  <c r="C99" i="2"/>
  <c r="C100" i="2"/>
  <c r="C97" i="2"/>
  <c r="C95" i="2"/>
  <c r="C94" i="2"/>
  <c r="C89" i="2"/>
  <c r="C88" i="2"/>
  <c r="C87" i="2"/>
  <c r="C85" i="2"/>
  <c r="C84" i="2"/>
  <c r="C83" i="2"/>
  <c r="C81" i="2"/>
  <c r="C80" i="2"/>
  <c r="C79" i="2"/>
  <c r="C78" i="2"/>
  <c r="C77" i="2"/>
  <c r="B110" i="2"/>
  <c r="B109" i="2"/>
  <c r="B108" i="2"/>
  <c r="B107" i="2"/>
  <c r="B106" i="2"/>
  <c r="B105" i="2"/>
  <c r="B104" i="2"/>
  <c r="B103" i="2"/>
  <c r="B115" i="2"/>
  <c r="B114" i="2"/>
  <c r="B113" i="2"/>
  <c r="B112" i="2"/>
  <c r="B101" i="2"/>
  <c r="B97" i="2"/>
  <c r="B98" i="2"/>
  <c r="B99" i="2"/>
  <c r="B100" i="2"/>
  <c r="B96" i="2"/>
  <c r="B95" i="2"/>
  <c r="B92" i="2"/>
  <c r="B93" i="2"/>
  <c r="B94" i="2"/>
  <c r="B91" i="2"/>
  <c r="B90" i="2"/>
  <c r="B89" i="2"/>
  <c r="B88" i="2"/>
  <c r="B87" i="2"/>
  <c r="B85" i="2"/>
  <c r="B84" i="2"/>
  <c r="B83" i="2"/>
  <c r="B82" i="2"/>
  <c r="B81" i="2"/>
  <c r="B80" i="2"/>
  <c r="B79" i="2"/>
  <c r="B78" i="2"/>
  <c r="B77" i="2"/>
  <c r="B75" i="2"/>
  <c r="B11" i="2"/>
  <c r="C34" i="2"/>
  <c r="B34" i="2"/>
  <c r="B33" i="2"/>
  <c r="C71" i="2"/>
  <c r="B71" i="2"/>
  <c r="C70" i="2"/>
  <c r="B70" i="2"/>
  <c r="C69" i="2"/>
  <c r="B69" i="2"/>
  <c r="C68" i="2"/>
  <c r="B68" i="2"/>
  <c r="B67" i="2"/>
  <c r="C66" i="2"/>
  <c r="B66" i="2"/>
  <c r="C43" i="2"/>
  <c r="C42" i="2"/>
  <c r="C41" i="2"/>
  <c r="C39" i="2"/>
  <c r="C38" i="2"/>
  <c r="C37" i="2"/>
  <c r="B43" i="2"/>
  <c r="B42" i="2"/>
  <c r="B41" i="2"/>
  <c r="B40" i="2"/>
  <c r="B39" i="2"/>
  <c r="B37" i="2"/>
  <c r="C36" i="2"/>
  <c r="B36" i="2"/>
  <c r="B52" i="2"/>
  <c r="C52" i="2"/>
  <c r="C51" i="2"/>
  <c r="C50" i="2"/>
  <c r="B51" i="2"/>
  <c r="B50" i="2"/>
  <c r="B49" i="2"/>
  <c r="C48" i="2"/>
  <c r="C47" i="2"/>
  <c r="B48" i="2"/>
  <c r="B47" i="2"/>
  <c r="C46" i="2"/>
  <c r="B46" i="2"/>
  <c r="B45" i="2"/>
  <c r="C64" i="2"/>
  <c r="B64" i="2"/>
  <c r="C60" i="2"/>
  <c r="B60" i="2"/>
  <c r="B31" i="2"/>
  <c r="B27" i="2"/>
  <c r="B28" i="2"/>
  <c r="B29" i="2"/>
  <c r="B30" i="2"/>
  <c r="B26" i="2"/>
  <c r="B25" i="2"/>
  <c r="B23" i="2"/>
  <c r="B21" i="2"/>
  <c r="B19" i="2"/>
  <c r="B17" i="2"/>
  <c r="B16" i="2"/>
  <c r="B15" i="2"/>
  <c r="B14" i="2"/>
  <c r="B13" i="2"/>
  <c r="C31" i="2"/>
  <c r="C30" i="2"/>
  <c r="C25" i="2"/>
  <c r="C23" i="2"/>
  <c r="C21" i="2"/>
  <c r="C19" i="2"/>
  <c r="C17" i="2"/>
  <c r="C16" i="2"/>
  <c r="C15" i="2"/>
  <c r="C14" i="2"/>
  <c r="C13" i="2"/>
  <c r="Q128" i="13" l="1"/>
  <c r="R128" i="13"/>
  <c r="H688" i="14"/>
  <c r="K688" i="14" s="1"/>
  <c r="R139" i="45" s="1"/>
  <c r="G139" i="45" s="1"/>
  <c r="H687" i="14"/>
  <c r="H686" i="14"/>
  <c r="H685" i="14"/>
  <c r="H683" i="14"/>
  <c r="I683" i="14" s="1"/>
  <c r="K685" i="14"/>
  <c r="J685" i="14"/>
  <c r="H218" i="14"/>
  <c r="Q129" i="13" l="1"/>
  <c r="R129" i="13"/>
  <c r="J687" i="14"/>
  <c r="R137" i="45" s="1"/>
  <c r="G137" i="45" s="1"/>
  <c r="I686" i="14"/>
  <c r="R132" i="45" s="1"/>
  <c r="K683" i="14"/>
  <c r="J683" i="14"/>
  <c r="R130" i="13" l="1"/>
  <c r="Q130" i="13"/>
  <c r="G132" i="45"/>
  <c r="J216" i="14"/>
  <c r="K216" i="14"/>
  <c r="K219" i="14"/>
  <c r="J218" i="14"/>
  <c r="R99" i="45" s="1"/>
  <c r="G99" i="45" s="1"/>
  <c r="I217" i="14"/>
  <c r="H216" i="14"/>
  <c r="H219" i="14"/>
  <c r="H217" i="14"/>
  <c r="H214" i="14"/>
  <c r="I214" i="14" s="1"/>
  <c r="J214" i="14" s="1"/>
  <c r="K459" i="14"/>
  <c r="K462" i="14"/>
  <c r="J459" i="14"/>
  <c r="J462" i="14"/>
  <c r="Q131" i="13" l="1"/>
  <c r="R131" i="13"/>
  <c r="R94" i="45"/>
  <c r="G94" i="45" s="1"/>
  <c r="R102" i="45"/>
  <c r="G102" i="45" s="1"/>
  <c r="K214" i="14"/>
  <c r="I456" i="14"/>
  <c r="R132" i="13" l="1"/>
  <c r="Q132" i="13"/>
  <c r="K456" i="14"/>
  <c r="J456" i="14"/>
  <c r="Q133" i="13" l="1"/>
  <c r="R133" i="13"/>
  <c r="H465" i="14"/>
  <c r="K465" i="14" s="1"/>
  <c r="R66" i="45" s="1"/>
  <c r="G66" i="45" s="1"/>
  <c r="H464" i="14"/>
  <c r="J464" i="14" s="1"/>
  <c r="R134" i="13" l="1"/>
  <c r="Q134" i="13"/>
  <c r="R63" i="45"/>
  <c r="G63" i="45" s="1"/>
  <c r="H462" i="14"/>
  <c r="H463" i="14"/>
  <c r="I463" i="14" s="1"/>
  <c r="R56" i="45" s="1"/>
  <c r="G56" i="45" s="1"/>
  <c r="H456" i="14"/>
  <c r="Q135" i="13" l="1"/>
  <c r="R135" i="13"/>
  <c r="H253" i="14"/>
  <c r="H317" i="14" s="1"/>
  <c r="I317" i="14" s="1"/>
  <c r="Q136" i="13" l="1"/>
  <c r="R136" i="13"/>
  <c r="H595" i="14"/>
  <c r="F25" i="29"/>
  <c r="H288" i="14" s="1"/>
  <c r="H322" i="14" s="1"/>
  <c r="F27" i="29"/>
  <c r="Q137" i="13" l="1"/>
  <c r="R137" i="13"/>
  <c r="X59" i="43"/>
  <c r="AM8" i="14"/>
  <c r="AM12" i="14"/>
  <c r="C22" i="27"/>
  <c r="R138" i="13" l="1"/>
  <c r="Q138" i="13"/>
  <c r="D59" i="30"/>
  <c r="C37" i="27"/>
  <c r="C30" i="27"/>
  <c r="D100" i="17"/>
  <c r="C23" i="27"/>
  <c r="D60" i="30" s="1"/>
  <c r="E23" i="27"/>
  <c r="P15" i="42"/>
  <c r="Q15" i="42"/>
  <c r="U15" i="42"/>
  <c r="V15" i="42"/>
  <c r="W15" i="42"/>
  <c r="X15" i="42"/>
  <c r="O15" i="42"/>
  <c r="M14" i="42"/>
  <c r="N14" i="42"/>
  <c r="O14" i="42"/>
  <c r="P14" i="42"/>
  <c r="Q14" i="42"/>
  <c r="U14" i="42"/>
  <c r="V14" i="42"/>
  <c r="W14" i="42"/>
  <c r="X14" i="42"/>
  <c r="L14" i="42"/>
  <c r="J13" i="42"/>
  <c r="K13" i="42"/>
  <c r="L13" i="42"/>
  <c r="M13" i="42"/>
  <c r="N13" i="42"/>
  <c r="O13" i="42"/>
  <c r="P13" i="42"/>
  <c r="Q13" i="42"/>
  <c r="U13" i="42"/>
  <c r="V13" i="42"/>
  <c r="W13" i="42"/>
  <c r="X13" i="42"/>
  <c r="I13" i="42"/>
  <c r="I12" i="42"/>
  <c r="J12" i="42"/>
  <c r="G12" i="42"/>
  <c r="H12" i="42"/>
  <c r="K12" i="42"/>
  <c r="L12" i="42"/>
  <c r="M12" i="42"/>
  <c r="N12" i="42"/>
  <c r="O12" i="42"/>
  <c r="P12" i="42"/>
  <c r="Q12" i="42"/>
  <c r="U12" i="42"/>
  <c r="V12" i="42"/>
  <c r="W12" i="42"/>
  <c r="X12" i="42"/>
  <c r="F12" i="42"/>
  <c r="X16" i="42"/>
  <c r="E11" i="42"/>
  <c r="F11" i="42"/>
  <c r="G11" i="42"/>
  <c r="H11" i="42"/>
  <c r="I11" i="42"/>
  <c r="J11" i="42"/>
  <c r="K11" i="42"/>
  <c r="L11" i="42"/>
  <c r="M11" i="42"/>
  <c r="N11" i="42"/>
  <c r="O11" i="42"/>
  <c r="P11" i="42"/>
  <c r="Q11" i="42"/>
  <c r="U11" i="42"/>
  <c r="V11" i="42"/>
  <c r="W11" i="42"/>
  <c r="X11" i="42"/>
  <c r="D11" i="42"/>
  <c r="C11" i="42"/>
  <c r="D50" i="42"/>
  <c r="F50" i="42" s="1"/>
  <c r="F69" i="37" s="1"/>
  <c r="V16" i="42"/>
  <c r="W16" i="42"/>
  <c r="U16" i="42"/>
  <c r="P16" i="42"/>
  <c r="Q16" i="42"/>
  <c r="O16" i="42"/>
  <c r="M16" i="42"/>
  <c r="N16" i="42"/>
  <c r="L16" i="42"/>
  <c r="J16" i="42"/>
  <c r="K16" i="42"/>
  <c r="I16" i="42"/>
  <c r="G16" i="42"/>
  <c r="H16" i="42"/>
  <c r="F16" i="42"/>
  <c r="D16" i="42"/>
  <c r="E16" i="42"/>
  <c r="C16" i="42"/>
  <c r="D49" i="42"/>
  <c r="R139" i="13" l="1"/>
  <c r="Q139" i="13"/>
  <c r="H59" i="30"/>
  <c r="F49" i="42"/>
  <c r="U40" i="42"/>
  <c r="T39" i="42"/>
  <c r="S38" i="42"/>
  <c r="R40" i="42"/>
  <c r="C40" i="42"/>
  <c r="I40" i="42"/>
  <c r="O40" i="42"/>
  <c r="F40" i="42"/>
  <c r="L40" i="42"/>
  <c r="D38" i="42"/>
  <c r="H39" i="42"/>
  <c r="N39" i="42"/>
  <c r="W39" i="42"/>
  <c r="E39" i="42"/>
  <c r="K39" i="42"/>
  <c r="Q39" i="42"/>
  <c r="V38" i="42"/>
  <c r="G38" i="42"/>
  <c r="M38" i="42"/>
  <c r="J38" i="42"/>
  <c r="P38" i="42"/>
  <c r="X2" i="42"/>
  <c r="P2" i="42"/>
  <c r="O2" i="42"/>
  <c r="M2" i="42"/>
  <c r="L2" i="42"/>
  <c r="J2" i="42"/>
  <c r="I2" i="42"/>
  <c r="G2" i="42"/>
  <c r="F2" i="42"/>
  <c r="D2" i="42"/>
  <c r="C2" i="42"/>
  <c r="P175" i="25"/>
  <c r="E177" i="25"/>
  <c r="Q140" i="13" l="1"/>
  <c r="R140" i="13"/>
  <c r="X40" i="42"/>
  <c r="D53" i="42" s="1"/>
  <c r="G69" i="37" s="1"/>
  <c r="Z39" i="42"/>
  <c r="D52" i="42" s="1"/>
  <c r="J71" i="37" s="1"/>
  <c r="Z38" i="42"/>
  <c r="F177" i="25"/>
  <c r="P173" i="25"/>
  <c r="Q141" i="13" l="1"/>
  <c r="R141" i="13"/>
  <c r="D51" i="42"/>
  <c r="P142" i="25"/>
  <c r="P138" i="25"/>
  <c r="E153" i="25"/>
  <c r="P140" i="25" s="1"/>
  <c r="R142" i="13" l="1"/>
  <c r="Q142" i="13"/>
  <c r="H628" i="14"/>
  <c r="H604" i="14"/>
  <c r="H541" i="14"/>
  <c r="H475" i="14"/>
  <c r="H556" i="14"/>
  <c r="H636" i="14"/>
  <c r="H638" i="14" s="1"/>
  <c r="Q143" i="13" l="1"/>
  <c r="R143" i="13"/>
  <c r="H55" i="37"/>
  <c r="I55" i="37"/>
  <c r="J55" i="37"/>
  <c r="J23" i="37"/>
  <c r="N585" i="14"/>
  <c r="N587" i="14"/>
  <c r="Q144" i="13" l="1"/>
  <c r="R144" i="13"/>
  <c r="H665" i="14"/>
  <c r="Q145" i="13" l="1"/>
  <c r="R145" i="13"/>
  <c r="H644" i="14"/>
  <c r="H645" i="14"/>
  <c r="H664" i="14"/>
  <c r="H654" i="14"/>
  <c r="H655" i="14"/>
  <c r="R146" i="13" l="1"/>
  <c r="Q146" i="13"/>
  <c r="F50" i="37"/>
  <c r="Q147" i="13" l="1"/>
  <c r="R147" i="13"/>
  <c r="H613" i="14"/>
  <c r="H592" i="14"/>
  <c r="H593" i="14" s="1"/>
  <c r="H581" i="14"/>
  <c r="Q148" i="13" l="1"/>
  <c r="R148" i="13"/>
  <c r="H586" i="14"/>
  <c r="H587" i="14"/>
  <c r="I13" i="37"/>
  <c r="H11" i="37"/>
  <c r="R149" i="13" l="1"/>
  <c r="Q149" i="13"/>
  <c r="Q8" i="14"/>
  <c r="R8" i="14"/>
  <c r="S8" i="14"/>
  <c r="T8" i="14"/>
  <c r="Q150" i="13" l="1"/>
  <c r="R150" i="13"/>
  <c r="C5" i="37"/>
  <c r="C3" i="37"/>
  <c r="C5" i="36"/>
  <c r="C3" i="36"/>
  <c r="C5" i="5"/>
  <c r="C3" i="5"/>
  <c r="C3" i="24"/>
  <c r="C3" i="23"/>
  <c r="C5" i="24"/>
  <c r="C5" i="23"/>
  <c r="R151" i="13" l="1"/>
  <c r="Q151" i="13"/>
  <c r="C92" i="2"/>
  <c r="C93" i="2"/>
  <c r="C91" i="2"/>
  <c r="C28" i="2"/>
  <c r="C29" i="2"/>
  <c r="C27" i="2"/>
  <c r="F24" i="37"/>
  <c r="I220" i="22"/>
  <c r="D197" i="22"/>
  <c r="I200" i="22" s="1"/>
  <c r="D213" i="22"/>
  <c r="I216" i="22" s="1"/>
  <c r="Q152" i="13" l="1"/>
  <c r="R152" i="13"/>
  <c r="M220" i="22"/>
  <c r="H559" i="14"/>
  <c r="L220" i="22"/>
  <c r="K220" i="22"/>
  <c r="I204" i="22"/>
  <c r="H544" i="14" s="1"/>
  <c r="E173" i="25"/>
  <c r="E171" i="25"/>
  <c r="F153" i="25"/>
  <c r="E156" i="25"/>
  <c r="E147" i="25"/>
  <c r="H523" i="14"/>
  <c r="AK8" i="14"/>
  <c r="AL8" i="14"/>
  <c r="R153" i="13" l="1"/>
  <c r="Q153" i="13"/>
  <c r="P171" i="25"/>
  <c r="L204" i="22"/>
  <c r="K204" i="22"/>
  <c r="M204" i="22"/>
  <c r="Q154" i="13" l="1"/>
  <c r="R154" i="13"/>
  <c r="F68" i="37"/>
  <c r="E15" i="37"/>
  <c r="E14" i="37"/>
  <c r="E13" i="37"/>
  <c r="E12" i="37"/>
  <c r="E11" i="37"/>
  <c r="J4" i="37"/>
  <c r="F76" i="24"/>
  <c r="F57" i="5"/>
  <c r="Q155" i="13" l="1"/>
  <c r="R155" i="13"/>
  <c r="H270" i="34"/>
  <c r="S28" i="34"/>
  <c r="R28" i="34"/>
  <c r="U29" i="34"/>
  <c r="T29" i="34"/>
  <c r="R39" i="34"/>
  <c r="R41" i="34"/>
  <c r="R29" i="34"/>
  <c r="Q29" i="34"/>
  <c r="D64" i="35"/>
  <c r="E64" i="35" s="1"/>
  <c r="F58" i="5" s="1"/>
  <c r="H272" i="34"/>
  <c r="I272" i="34" s="1"/>
  <c r="F77" i="24" s="1"/>
  <c r="M2" i="35"/>
  <c r="L2" i="35"/>
  <c r="K2" i="35"/>
  <c r="J2" i="35"/>
  <c r="I2" i="35"/>
  <c r="H2" i="35"/>
  <c r="G2" i="35"/>
  <c r="F2" i="35"/>
  <c r="E2" i="35"/>
  <c r="D2" i="35"/>
  <c r="C2" i="35"/>
  <c r="N2" i="34"/>
  <c r="M2" i="34"/>
  <c r="L2" i="34"/>
  <c r="K2" i="34"/>
  <c r="J2" i="34"/>
  <c r="I2" i="34"/>
  <c r="H2" i="34"/>
  <c r="G2" i="34"/>
  <c r="F2" i="34"/>
  <c r="E2" i="34"/>
  <c r="D2" i="34"/>
  <c r="C2" i="34"/>
  <c r="Q156" i="13" l="1"/>
  <c r="R156" i="13"/>
  <c r="O270" i="34"/>
  <c r="I270" i="34"/>
  <c r="R42" i="34"/>
  <c r="D63" i="35" s="1"/>
  <c r="R40" i="34"/>
  <c r="H271" i="34" s="1"/>
  <c r="N270" i="34"/>
  <c r="R157" i="13" l="1"/>
  <c r="Q157" i="13"/>
  <c r="I271" i="34"/>
  <c r="D173" i="34"/>
  <c r="F173" i="34"/>
  <c r="F75" i="24"/>
  <c r="G250" i="34"/>
  <c r="E250" i="34"/>
  <c r="I250" i="34"/>
  <c r="H249" i="34"/>
  <c r="F249" i="34"/>
  <c r="C250" i="34"/>
  <c r="D249" i="34"/>
  <c r="J249" i="34"/>
  <c r="L249" i="34"/>
  <c r="K250" i="34"/>
  <c r="D51" i="35"/>
  <c r="L234" i="34"/>
  <c r="G220" i="34"/>
  <c r="D219" i="34"/>
  <c r="L173" i="34"/>
  <c r="G130" i="34"/>
  <c r="D129" i="34"/>
  <c r="D88" i="34"/>
  <c r="G235" i="34"/>
  <c r="D234" i="34"/>
  <c r="L219" i="34"/>
  <c r="G174" i="34"/>
  <c r="L129" i="34"/>
  <c r="L88" i="34"/>
  <c r="L46" i="34"/>
  <c r="G89" i="34"/>
  <c r="C89" i="34"/>
  <c r="E47" i="34"/>
  <c r="E89" i="34"/>
  <c r="G47" i="34"/>
  <c r="K89" i="34"/>
  <c r="I47" i="34"/>
  <c r="I89" i="34"/>
  <c r="K47" i="34"/>
  <c r="C47" i="34"/>
  <c r="F51" i="35"/>
  <c r="H51" i="35"/>
  <c r="K55" i="35"/>
  <c r="E63" i="35"/>
  <c r="E55" i="35"/>
  <c r="I55" i="35"/>
  <c r="J51" i="35"/>
  <c r="D46" i="34"/>
  <c r="F129" i="34"/>
  <c r="F219" i="34"/>
  <c r="F46" i="34"/>
  <c r="F234" i="34"/>
  <c r="F88" i="34"/>
  <c r="I220" i="34"/>
  <c r="K235" i="34"/>
  <c r="C235" i="34"/>
  <c r="H234" i="34"/>
  <c r="K220" i="34"/>
  <c r="C220" i="34"/>
  <c r="H219" i="34"/>
  <c r="K174" i="34"/>
  <c r="C174" i="34"/>
  <c r="H173" i="34"/>
  <c r="K130" i="34"/>
  <c r="C130" i="34"/>
  <c r="H129" i="34"/>
  <c r="H88" i="34"/>
  <c r="H46" i="34"/>
  <c r="E235" i="34"/>
  <c r="E220" i="34"/>
  <c r="E174" i="34"/>
  <c r="E130" i="34"/>
  <c r="I235" i="34"/>
  <c r="I174" i="34"/>
  <c r="J129" i="34"/>
  <c r="J88" i="34"/>
  <c r="I130" i="34"/>
  <c r="J46" i="34"/>
  <c r="J234" i="34"/>
  <c r="J173" i="34"/>
  <c r="L51" i="35"/>
  <c r="G55" i="35"/>
  <c r="C55" i="35"/>
  <c r="J219" i="34"/>
  <c r="I167" i="22"/>
  <c r="O9" i="22"/>
  <c r="Q158" i="13" l="1"/>
  <c r="R158" i="13"/>
  <c r="M173" i="34"/>
  <c r="M249" i="34"/>
  <c r="M250" i="34"/>
  <c r="O51" i="35"/>
  <c r="D65" i="35" s="1"/>
  <c r="J59" i="5" s="1"/>
  <c r="M55" i="35"/>
  <c r="M219" i="34"/>
  <c r="M46" i="34"/>
  <c r="M130" i="34"/>
  <c r="M129" i="34"/>
  <c r="M89" i="34"/>
  <c r="M88" i="34"/>
  <c r="M174" i="34"/>
  <c r="M47" i="34"/>
  <c r="M220" i="34"/>
  <c r="M234" i="34"/>
  <c r="M235" i="34"/>
  <c r="N2" i="25"/>
  <c r="O2" i="25"/>
  <c r="P2" i="25"/>
  <c r="H249" i="14"/>
  <c r="H316" i="14" s="1"/>
  <c r="I316" i="14" s="1"/>
  <c r="H336" i="14"/>
  <c r="R159" i="13" l="1"/>
  <c r="Q159" i="13"/>
  <c r="M252" i="34"/>
  <c r="H273" i="34" s="1"/>
  <c r="J78" i="24" s="1"/>
  <c r="M253" i="34"/>
  <c r="H274" i="34" s="1"/>
  <c r="L53" i="35"/>
  <c r="D67" i="35"/>
  <c r="G58" i="5" s="1"/>
  <c r="J53" i="35"/>
  <c r="F53" i="35"/>
  <c r="D53" i="35"/>
  <c r="H53" i="35"/>
  <c r="P25" i="25"/>
  <c r="P26" i="25"/>
  <c r="P27" i="25"/>
  <c r="P28" i="25"/>
  <c r="P29" i="25"/>
  <c r="P30" i="25"/>
  <c r="P31" i="25"/>
  <c r="P32" i="25"/>
  <c r="P33" i="25"/>
  <c r="P34" i="25"/>
  <c r="P35" i="25"/>
  <c r="P36" i="25"/>
  <c r="P37" i="25"/>
  <c r="P38" i="25"/>
  <c r="P39" i="25"/>
  <c r="P40" i="25"/>
  <c r="P42" i="25"/>
  <c r="P43" i="25"/>
  <c r="P44" i="25"/>
  <c r="P45" i="25"/>
  <c r="P46" i="25"/>
  <c r="P47" i="25"/>
  <c r="P48" i="25"/>
  <c r="P49" i="25"/>
  <c r="P50" i="25"/>
  <c r="P51" i="25"/>
  <c r="P52" i="25"/>
  <c r="P53" i="25"/>
  <c r="P54" i="25"/>
  <c r="P55" i="25"/>
  <c r="P56" i="25"/>
  <c r="P57" i="25"/>
  <c r="P58" i="25"/>
  <c r="P59" i="25"/>
  <c r="P60" i="25"/>
  <c r="P61" i="25"/>
  <c r="P62" i="25"/>
  <c r="P66" i="25"/>
  <c r="P67" i="25"/>
  <c r="P68" i="25"/>
  <c r="P69" i="25"/>
  <c r="P70" i="25"/>
  <c r="P71" i="25"/>
  <c r="P72" i="25"/>
  <c r="P73" i="25"/>
  <c r="P74" i="25"/>
  <c r="P75" i="25"/>
  <c r="P76" i="25"/>
  <c r="P77" i="25"/>
  <c r="P78" i="25"/>
  <c r="P79" i="25"/>
  <c r="P80" i="25"/>
  <c r="P81" i="25"/>
  <c r="P82" i="25"/>
  <c r="P83" i="25"/>
  <c r="P84" i="25"/>
  <c r="P85" i="25"/>
  <c r="P86" i="25"/>
  <c r="P87" i="25"/>
  <c r="P24" i="25"/>
  <c r="O25" i="25"/>
  <c r="O26" i="25"/>
  <c r="O27" i="25"/>
  <c r="O28" i="25"/>
  <c r="O29" i="25"/>
  <c r="O30" i="25"/>
  <c r="O31" i="25"/>
  <c r="O32" i="25"/>
  <c r="O33" i="25"/>
  <c r="O34" i="25"/>
  <c r="O35" i="25"/>
  <c r="O36" i="25"/>
  <c r="O37" i="25"/>
  <c r="O38" i="25"/>
  <c r="O39" i="25"/>
  <c r="O40" i="25"/>
  <c r="O42" i="25"/>
  <c r="O43" i="25"/>
  <c r="O44" i="25"/>
  <c r="O45" i="25"/>
  <c r="O46" i="25"/>
  <c r="O47" i="25"/>
  <c r="O48" i="25"/>
  <c r="O49" i="25"/>
  <c r="O50" i="25"/>
  <c r="O51" i="25"/>
  <c r="O52" i="25"/>
  <c r="O53" i="25"/>
  <c r="O54" i="25"/>
  <c r="O55" i="25"/>
  <c r="O56" i="25"/>
  <c r="O57" i="25"/>
  <c r="O58" i="25"/>
  <c r="O59" i="25"/>
  <c r="O60" i="25"/>
  <c r="O61" i="25"/>
  <c r="O62" i="25"/>
  <c r="O66" i="25"/>
  <c r="O67" i="25"/>
  <c r="O68" i="25"/>
  <c r="O69" i="25"/>
  <c r="O70" i="25"/>
  <c r="O71" i="25"/>
  <c r="O72" i="25"/>
  <c r="O73" i="25"/>
  <c r="O74" i="25"/>
  <c r="O75" i="25"/>
  <c r="O76" i="25"/>
  <c r="O77" i="25"/>
  <c r="O78" i="25"/>
  <c r="O79" i="25"/>
  <c r="O80" i="25"/>
  <c r="O81" i="25"/>
  <c r="O82" i="25"/>
  <c r="O83" i="25"/>
  <c r="O84" i="25"/>
  <c r="O85" i="25"/>
  <c r="O86" i="25"/>
  <c r="O87" i="25"/>
  <c r="O24" i="25"/>
  <c r="Q160" i="13" l="1"/>
  <c r="R160" i="13"/>
  <c r="G77" i="24"/>
  <c r="G267" i="34"/>
  <c r="H275" i="34" s="1"/>
  <c r="J79" i="24" s="1"/>
  <c r="O53" i="35"/>
  <c r="D66" i="35" s="1"/>
  <c r="J60" i="5" s="1"/>
  <c r="N25" i="25"/>
  <c r="N26" i="25"/>
  <c r="N27" i="25"/>
  <c r="N28" i="25"/>
  <c r="N29" i="25"/>
  <c r="N30" i="25"/>
  <c r="N31" i="25"/>
  <c r="N32" i="25"/>
  <c r="N33" i="25"/>
  <c r="N34" i="25"/>
  <c r="N35" i="25"/>
  <c r="N36" i="25"/>
  <c r="N37" i="25"/>
  <c r="N38" i="25"/>
  <c r="N39" i="25"/>
  <c r="N40" i="25"/>
  <c r="N42" i="25"/>
  <c r="N43" i="25"/>
  <c r="N44" i="25"/>
  <c r="N45" i="25"/>
  <c r="N46" i="25"/>
  <c r="N47" i="25"/>
  <c r="N48" i="25"/>
  <c r="N49" i="25"/>
  <c r="N50" i="25"/>
  <c r="N51" i="25"/>
  <c r="N52" i="25"/>
  <c r="N53" i="25"/>
  <c r="N54" i="25"/>
  <c r="N55" i="25"/>
  <c r="N56" i="25"/>
  <c r="N57" i="25"/>
  <c r="N58" i="25"/>
  <c r="N59" i="25"/>
  <c r="N60" i="25"/>
  <c r="N61" i="25"/>
  <c r="N62" i="25"/>
  <c r="N66" i="25"/>
  <c r="N67" i="25"/>
  <c r="N68" i="25"/>
  <c r="N69" i="25"/>
  <c r="N70" i="25"/>
  <c r="N71" i="25"/>
  <c r="N72" i="25"/>
  <c r="N73" i="25"/>
  <c r="N74" i="25"/>
  <c r="N75" i="25"/>
  <c r="N76" i="25"/>
  <c r="N77" i="25"/>
  <c r="N78" i="25"/>
  <c r="N79" i="25"/>
  <c r="N80" i="25"/>
  <c r="N81" i="25"/>
  <c r="N82" i="25"/>
  <c r="N83" i="25"/>
  <c r="N84" i="25"/>
  <c r="N85" i="25"/>
  <c r="N86" i="25"/>
  <c r="N87" i="25"/>
  <c r="N24" i="25"/>
  <c r="R161" i="13" l="1"/>
  <c r="Q161" i="13"/>
  <c r="H194" i="14"/>
  <c r="H203" i="14"/>
  <c r="Q162" i="13" l="1"/>
  <c r="R162" i="13"/>
  <c r="H187" i="14"/>
  <c r="F44" i="5" s="1"/>
  <c r="J4" i="24"/>
  <c r="Q163" i="13" l="1"/>
  <c r="R163" i="13"/>
  <c r="I171" i="22"/>
  <c r="D164" i="22"/>
  <c r="M19" i="30"/>
  <c r="L19" i="30"/>
  <c r="K19" i="30"/>
  <c r="J19" i="30"/>
  <c r="I19" i="30"/>
  <c r="H19" i="30"/>
  <c r="G19" i="30"/>
  <c r="F19" i="30"/>
  <c r="E19" i="30"/>
  <c r="D19" i="30"/>
  <c r="H38" i="30"/>
  <c r="H80" i="17"/>
  <c r="N11" i="30"/>
  <c r="C11" i="30"/>
  <c r="D11" i="30"/>
  <c r="E11" i="30"/>
  <c r="F11" i="30"/>
  <c r="G11" i="30"/>
  <c r="H11" i="30"/>
  <c r="I11" i="30"/>
  <c r="J11" i="30"/>
  <c r="K11" i="30"/>
  <c r="L11" i="30"/>
  <c r="M11" i="30"/>
  <c r="C31" i="30"/>
  <c r="C23" i="30"/>
  <c r="C24" i="30"/>
  <c r="C25" i="30"/>
  <c r="C26" i="30"/>
  <c r="C22" i="30"/>
  <c r="D37" i="30"/>
  <c r="C37" i="30"/>
  <c r="D40" i="30"/>
  <c r="H40" i="30" s="1"/>
  <c r="G80" i="17"/>
  <c r="F80" i="17"/>
  <c r="E80" i="17"/>
  <c r="C94" i="17"/>
  <c r="C91" i="17"/>
  <c r="C2" i="17"/>
  <c r="D2" i="17"/>
  <c r="E2" i="17"/>
  <c r="F2" i="17"/>
  <c r="G2" i="17"/>
  <c r="H2" i="17"/>
  <c r="B14" i="17"/>
  <c r="Q164" i="13" l="1"/>
  <c r="R164" i="13"/>
  <c r="B15" i="17"/>
  <c r="B16" i="17" s="1"/>
  <c r="B17" i="17" s="1"/>
  <c r="B18" i="17" s="1"/>
  <c r="B19" i="17" s="1"/>
  <c r="B20" i="17" s="1"/>
  <c r="B21" i="17" s="1"/>
  <c r="B22" i="17" s="1"/>
  <c r="B23" i="17" s="1"/>
  <c r="B24" i="17" s="1"/>
  <c r="B25" i="17" s="1"/>
  <c r="B26" i="17" s="1"/>
  <c r="B27" i="17" s="1"/>
  <c r="B28" i="17" s="1"/>
  <c r="B29" i="17" s="1"/>
  <c r="B30" i="17" s="1"/>
  <c r="B31" i="17" s="1"/>
  <c r="B32" i="17" s="1"/>
  <c r="B33" i="17" s="1"/>
  <c r="H294" i="14"/>
  <c r="C95" i="17"/>
  <c r="F49" i="30"/>
  <c r="D41" i="30"/>
  <c r="M171" i="22"/>
  <c r="L171" i="22"/>
  <c r="K171" i="22"/>
  <c r="L119" i="22"/>
  <c r="M119" i="22"/>
  <c r="K119" i="22"/>
  <c r="H392" i="14"/>
  <c r="AI87" i="14"/>
  <c r="AI88" i="14" s="1"/>
  <c r="AI89" i="14" s="1"/>
  <c r="D19" i="29"/>
  <c r="D21" i="29" s="1"/>
  <c r="D17" i="29"/>
  <c r="D18" i="29" s="1"/>
  <c r="D13" i="29"/>
  <c r="D14" i="29" s="1"/>
  <c r="H358" i="14"/>
  <c r="H268" i="14"/>
  <c r="D38" i="26"/>
  <c r="D37" i="26"/>
  <c r="G8" i="14"/>
  <c r="I135" i="22"/>
  <c r="H367" i="14" s="1"/>
  <c r="D128" i="22"/>
  <c r="H129" i="22" s="1"/>
  <c r="D112" i="22"/>
  <c r="R165" i="13" l="1"/>
  <c r="Q165" i="13"/>
  <c r="H49" i="30"/>
  <c r="H51" i="30" s="1"/>
  <c r="I115" i="22"/>
  <c r="B34" i="17"/>
  <c r="B35" i="17" s="1"/>
  <c r="B36" i="17" s="1"/>
  <c r="B37" i="17" s="1"/>
  <c r="B38" i="17" s="1"/>
  <c r="B39" i="17" s="1"/>
  <c r="B40" i="17" s="1"/>
  <c r="B41" i="17" s="1"/>
  <c r="B42" i="17" s="1"/>
  <c r="B43" i="17" s="1"/>
  <c r="B44" i="17" s="1"/>
  <c r="I131" i="22"/>
  <c r="D39" i="26"/>
  <c r="H382" i="14"/>
  <c r="H274" i="14"/>
  <c r="D20" i="29"/>
  <c r="U14" i="22"/>
  <c r="T14" i="22"/>
  <c r="T19" i="22"/>
  <c r="D35" i="26"/>
  <c r="M2" i="25"/>
  <c r="E139" i="25"/>
  <c r="D139" i="25"/>
  <c r="H227" i="14"/>
  <c r="H231" i="14" s="1"/>
  <c r="I13" i="24"/>
  <c r="H11" i="24"/>
  <c r="E15" i="24"/>
  <c r="E14" i="24"/>
  <c r="E13" i="24"/>
  <c r="E12" i="24"/>
  <c r="E11" i="24"/>
  <c r="Q166" i="13" l="1"/>
  <c r="R166" i="13"/>
  <c r="E35" i="26"/>
  <c r="H399" i="14"/>
  <c r="I25" i="24" s="1"/>
  <c r="B45" i="17"/>
  <c r="B46" i="17" s="1"/>
  <c r="B47" i="17" s="1"/>
  <c r="B48" i="17" s="1"/>
  <c r="B49" i="17" s="1"/>
  <c r="B50" i="17" s="1"/>
  <c r="B51" i="17" s="1"/>
  <c r="B56" i="17" s="1"/>
  <c r="B57" i="17" s="1"/>
  <c r="B58" i="17" s="1"/>
  <c r="B59" i="17" s="1"/>
  <c r="B60" i="17" s="1"/>
  <c r="B61" i="17" s="1"/>
  <c r="B62" i="17" s="1"/>
  <c r="B63" i="17" s="1"/>
  <c r="B64" i="17" s="1"/>
  <c r="B65" i="17" s="1"/>
  <c r="B66" i="17" s="1"/>
  <c r="B67" i="17" s="1"/>
  <c r="B68" i="17" s="1"/>
  <c r="B69" i="17" s="1"/>
  <c r="B70" i="17" s="1"/>
  <c r="B71" i="17" s="1"/>
  <c r="B72" i="17" s="1"/>
  <c r="B73" i="17" s="1"/>
  <c r="B74" i="17" s="1"/>
  <c r="B75" i="17" s="1"/>
  <c r="H394" i="14"/>
  <c r="E178" i="25"/>
  <c r="E154" i="25"/>
  <c r="P141" i="25" s="1"/>
  <c r="U19" i="22"/>
  <c r="E37" i="26" s="1"/>
  <c r="H401" i="14"/>
  <c r="H314" i="14"/>
  <c r="I314" i="14" s="1"/>
  <c r="D42" i="26"/>
  <c r="G42" i="26" s="1"/>
  <c r="B24" i="43"/>
  <c r="D31" i="43" s="1"/>
  <c r="E627" i="14"/>
  <c r="E611" i="14"/>
  <c r="E603" i="14"/>
  <c r="Q167" i="13" l="1"/>
  <c r="R167" i="13"/>
  <c r="B76" i="17"/>
  <c r="B77" i="17" s="1"/>
  <c r="D96" i="17"/>
  <c r="D101" i="17" s="1"/>
  <c r="H386" i="14" s="1"/>
  <c r="D91" i="17"/>
  <c r="H337" i="14"/>
  <c r="H263" i="14"/>
  <c r="P174" i="25"/>
  <c r="H525" i="14"/>
  <c r="H350" i="14"/>
  <c r="C38" i="24" s="1"/>
  <c r="B21" i="43"/>
  <c r="C39" i="30"/>
  <c r="H39" i="30" s="1"/>
  <c r="C13" i="22"/>
  <c r="Q168" i="13" l="1"/>
  <c r="R168" i="13"/>
  <c r="C14" i="22"/>
  <c r="C15" i="22" s="1"/>
  <c r="E83" i="17"/>
  <c r="C2" i="27"/>
  <c r="D2" i="27"/>
  <c r="E2" i="27"/>
  <c r="F2" i="27"/>
  <c r="B2" i="27"/>
  <c r="B11" i="27"/>
  <c r="D3" i="26"/>
  <c r="E3" i="26"/>
  <c r="F3" i="26"/>
  <c r="G3" i="26"/>
  <c r="H3" i="26"/>
  <c r="I3" i="26"/>
  <c r="J3" i="26"/>
  <c r="K3" i="26"/>
  <c r="C3" i="26"/>
  <c r="B23" i="26"/>
  <c r="C24" i="25"/>
  <c r="D2" i="25"/>
  <c r="E2" i="25"/>
  <c r="F2" i="25"/>
  <c r="G2" i="25"/>
  <c r="H2" i="25"/>
  <c r="I2" i="25"/>
  <c r="J2" i="25"/>
  <c r="K2" i="25"/>
  <c r="L2" i="25"/>
  <c r="C2" i="25"/>
  <c r="R169" i="13" l="1"/>
  <c r="Q169" i="13"/>
  <c r="H166" i="22"/>
  <c r="I291" i="14" s="1"/>
  <c r="B24" i="26"/>
  <c r="B25" i="26" s="1"/>
  <c r="B26" i="26" s="1"/>
  <c r="B27" i="26" s="1"/>
  <c r="B28" i="26" s="1"/>
  <c r="B29" i="26" s="1"/>
  <c r="B30" i="26" s="1"/>
  <c r="B31" i="26" s="1"/>
  <c r="C16" i="22"/>
  <c r="C17" i="22" s="1"/>
  <c r="C18" i="22" s="1"/>
  <c r="C19" i="22" s="1"/>
  <c r="C20" i="22" s="1"/>
  <c r="C21" i="22" s="1"/>
  <c r="C22" i="22" s="1"/>
  <c r="C23" i="22" s="1"/>
  <c r="C24" i="22" s="1"/>
  <c r="C25" i="22" s="1"/>
  <c r="C26" i="22" s="1"/>
  <c r="C27" i="22" s="1"/>
  <c r="C28" i="22" s="1"/>
  <c r="C29" i="22" s="1"/>
  <c r="C30" i="22" s="1"/>
  <c r="C31" i="22" s="1"/>
  <c r="C32" i="22" s="1"/>
  <c r="C33" i="22" s="1"/>
  <c r="C34" i="22" s="1"/>
  <c r="C35" i="22" s="1"/>
  <c r="C36" i="22" s="1"/>
  <c r="C37" i="22" s="1"/>
  <c r="C38" i="22" s="1"/>
  <c r="C39" i="22" s="1"/>
  <c r="C40" i="22" s="1"/>
  <c r="C41" i="22" s="1"/>
  <c r="C42" i="22" s="1"/>
  <c r="C43" i="22" s="1"/>
  <c r="C44" i="22" s="1"/>
  <c r="C45" i="22" s="1"/>
  <c r="C46" i="22" s="1"/>
  <c r="C47" i="22" s="1"/>
  <c r="C48" i="22" s="1"/>
  <c r="C49" i="22" s="1"/>
  <c r="C50" i="22" s="1"/>
  <c r="C51" i="22" s="1"/>
  <c r="C52" i="22" s="1"/>
  <c r="C53" i="22" s="1"/>
  <c r="C54" i="22" s="1"/>
  <c r="C55" i="22" s="1"/>
  <c r="C56" i="22" s="1"/>
  <c r="C57" i="22" s="1"/>
  <c r="C58" i="22" s="1"/>
  <c r="C59" i="22" s="1"/>
  <c r="C60" i="22" s="1"/>
  <c r="C61" i="22" s="1"/>
  <c r="C62" i="22" s="1"/>
  <c r="C63" i="22" s="1"/>
  <c r="C64" i="22" s="1"/>
  <c r="C65" i="22" s="1"/>
  <c r="C66" i="22" s="1"/>
  <c r="C67" i="22" s="1"/>
  <c r="E84" i="17"/>
  <c r="E85" i="17" s="1"/>
  <c r="J82" i="22"/>
  <c r="C25" i="25"/>
  <c r="C26" i="25" s="1"/>
  <c r="C27" i="25" s="1"/>
  <c r="C28" i="25" s="1"/>
  <c r="C29" i="25" s="1"/>
  <c r="C30" i="25" s="1"/>
  <c r="C31" i="25" s="1"/>
  <c r="C32" i="25" s="1"/>
  <c r="C33" i="25" s="1"/>
  <c r="C34" i="25" s="1"/>
  <c r="C35" i="25" s="1"/>
  <c r="C36" i="25" s="1"/>
  <c r="C37" i="25" s="1"/>
  <c r="C38" i="25" s="1"/>
  <c r="C39" i="25" s="1"/>
  <c r="C40" i="25" s="1"/>
  <c r="C41" i="25" s="1"/>
  <c r="C42" i="25" s="1"/>
  <c r="C43" i="25" s="1"/>
  <c r="H524" i="14"/>
  <c r="F180" i="25"/>
  <c r="H526" i="14" s="1"/>
  <c r="E172" i="25"/>
  <c r="P172" i="25" s="1"/>
  <c r="P183" i="25"/>
  <c r="P184" i="25" s="1"/>
  <c r="H533" i="14" s="1"/>
  <c r="P180" i="25"/>
  <c r="P181" i="25" s="1"/>
  <c r="H532" i="14" s="1"/>
  <c r="P177" i="25"/>
  <c r="P178" i="25" s="1"/>
  <c r="H531" i="14" s="1"/>
  <c r="AM13" i="14"/>
  <c r="D49" i="30"/>
  <c r="B12" i="27"/>
  <c r="B13" i="27" s="1"/>
  <c r="B14" i="27" s="1"/>
  <c r="B15" i="27" s="1"/>
  <c r="B16" i="27" s="1"/>
  <c r="Q170" i="13" l="1"/>
  <c r="R170" i="13"/>
  <c r="D144" i="22"/>
  <c r="D227" i="22"/>
  <c r="H340" i="14"/>
  <c r="F37" i="24"/>
  <c r="H254" i="14"/>
  <c r="E54" i="26"/>
  <c r="H529" i="14" s="1"/>
  <c r="G56" i="26"/>
  <c r="H528" i="14" s="1"/>
  <c r="J97" i="22"/>
  <c r="D94" i="17"/>
  <c r="H384" i="14" s="1"/>
  <c r="D93" i="17"/>
  <c r="E86" i="17"/>
  <c r="E87" i="17" s="1"/>
  <c r="F35" i="29"/>
  <c r="H289" i="14" s="1"/>
  <c r="C44" i="25"/>
  <c r="C45" i="25" s="1"/>
  <c r="C46" i="25" s="1"/>
  <c r="C47" i="25" s="1"/>
  <c r="C48" i="25" s="1"/>
  <c r="C49" i="25" s="1"/>
  <c r="C50" i="25" s="1"/>
  <c r="C51" i="25" s="1"/>
  <c r="C52" i="25" s="1"/>
  <c r="C53" i="25" s="1"/>
  <c r="C54" i="25" s="1"/>
  <c r="C55" i="25" s="1"/>
  <c r="C56" i="25" s="1"/>
  <c r="C57" i="25" s="1"/>
  <c r="C58" i="25" s="1"/>
  <c r="C59" i="25" s="1"/>
  <c r="C60" i="25" s="1"/>
  <c r="C61" i="25" s="1"/>
  <c r="AM14" i="14"/>
  <c r="F56" i="5"/>
  <c r="F67" i="37"/>
  <c r="B11" i="30"/>
  <c r="AI8" i="14"/>
  <c r="AJ8" i="14"/>
  <c r="H490" i="14" s="1"/>
  <c r="B3" i="26"/>
  <c r="Q171" i="13" l="1"/>
  <c r="R171" i="13"/>
  <c r="J33" i="37"/>
  <c r="J32" i="37"/>
  <c r="C62" i="25"/>
  <c r="C63" i="25" s="1"/>
  <c r="C64" i="25" s="1"/>
  <c r="C65" i="25" s="1"/>
  <c r="C66" i="25" s="1"/>
  <c r="C67" i="25" s="1"/>
  <c r="C68" i="25" s="1"/>
  <c r="C69" i="25" s="1"/>
  <c r="C70" i="25" s="1"/>
  <c r="C71" i="25" s="1"/>
  <c r="C72" i="25" s="1"/>
  <c r="C73" i="25" s="1"/>
  <c r="C74" i="25" s="1"/>
  <c r="C75" i="25" s="1"/>
  <c r="C76" i="25" s="1"/>
  <c r="C77" i="25" s="1"/>
  <c r="C78" i="25" s="1"/>
  <c r="C79" i="25" s="1"/>
  <c r="C80" i="25" s="1"/>
  <c r="C81" i="25" s="1"/>
  <c r="C82" i="25" s="1"/>
  <c r="C83" i="25" s="1"/>
  <c r="C84" i="25" s="1"/>
  <c r="C85" i="25" s="1"/>
  <c r="F56" i="37"/>
  <c r="C55" i="37"/>
  <c r="C56" i="37"/>
  <c r="F55" i="37"/>
  <c r="C70" i="22"/>
  <c r="C71" i="22" s="1"/>
  <c r="C72" i="22" s="1"/>
  <c r="C73" i="22" s="1"/>
  <c r="I147" i="22"/>
  <c r="I230" i="22"/>
  <c r="F26" i="24"/>
  <c r="Y59" i="43"/>
  <c r="AM15" i="14"/>
  <c r="Q172" i="13" l="1"/>
  <c r="R172" i="13"/>
  <c r="C86" i="25"/>
  <c r="AM16" i="14"/>
  <c r="F24" i="15"/>
  <c r="F2" i="15"/>
  <c r="E24" i="15"/>
  <c r="J30" i="5" s="1"/>
  <c r="C24" i="15"/>
  <c r="F30" i="5" s="1"/>
  <c r="C2" i="15"/>
  <c r="D2" i="15"/>
  <c r="E2" i="15"/>
  <c r="B2" i="15"/>
  <c r="R2" i="16"/>
  <c r="S2" i="16"/>
  <c r="R173" i="13" l="1"/>
  <c r="Q173" i="13"/>
  <c r="C87" i="25"/>
  <c r="C88" i="25" s="1"/>
  <c r="C89" i="25" s="1"/>
  <c r="C90" i="25" s="1"/>
  <c r="C91" i="25" s="1"/>
  <c r="I322" i="14"/>
  <c r="AM17" i="14"/>
  <c r="I86" i="22"/>
  <c r="H9" i="22"/>
  <c r="D78" i="22"/>
  <c r="I81" i="22" s="1"/>
  <c r="D9" i="22"/>
  <c r="E9" i="22"/>
  <c r="F9" i="22"/>
  <c r="G9" i="22"/>
  <c r="I9" i="22"/>
  <c r="J9" i="22"/>
  <c r="K9" i="22"/>
  <c r="L9" i="22"/>
  <c r="M9" i="22"/>
  <c r="N9" i="22"/>
  <c r="P9" i="22"/>
  <c r="H228" i="22" s="1"/>
  <c r="Q9" i="22"/>
  <c r="H234" i="22" s="1"/>
  <c r="Q174" i="13" l="1"/>
  <c r="R174" i="13"/>
  <c r="H231" i="22"/>
  <c r="H235" i="22"/>
  <c r="H230" i="22"/>
  <c r="I228" i="22"/>
  <c r="I231" i="22" s="1"/>
  <c r="I145" i="22"/>
  <c r="I148" i="22" s="1"/>
  <c r="D145" i="22"/>
  <c r="D228" i="22"/>
  <c r="H567" i="14" s="1"/>
  <c r="F29" i="37" s="1"/>
  <c r="C92" i="25"/>
  <c r="H171" i="22"/>
  <c r="H119" i="22"/>
  <c r="H151" i="22"/>
  <c r="I569" i="14" s="1"/>
  <c r="L165" i="22"/>
  <c r="L113" i="22"/>
  <c r="L116" i="22" s="1"/>
  <c r="H145" i="22"/>
  <c r="H113" i="22"/>
  <c r="M165" i="22"/>
  <c r="M113" i="22"/>
  <c r="M116" i="22" s="1"/>
  <c r="K165" i="22"/>
  <c r="K113" i="22"/>
  <c r="K116" i="22" s="1"/>
  <c r="I113" i="22"/>
  <c r="I116" i="22" s="1"/>
  <c r="H267" i="14" s="1"/>
  <c r="D165" i="22"/>
  <c r="D113" i="22"/>
  <c r="I138" i="22"/>
  <c r="I122" i="22"/>
  <c r="J96" i="22"/>
  <c r="J80" i="22"/>
  <c r="J87" i="22" s="1"/>
  <c r="J81" i="22"/>
  <c r="H165" i="22"/>
  <c r="I293" i="14" s="1"/>
  <c r="J95" i="22"/>
  <c r="J102" i="22" s="1"/>
  <c r="I80" i="22"/>
  <c r="I165" i="22"/>
  <c r="I168" i="22" s="1"/>
  <c r="H293" i="14" s="1"/>
  <c r="I173" i="22"/>
  <c r="H296" i="14" s="1"/>
  <c r="M198" i="22"/>
  <c r="M201" i="22" s="1"/>
  <c r="M205" i="22" s="1"/>
  <c r="M214" i="22"/>
  <c r="M217" i="22" s="1"/>
  <c r="M221" i="22" s="1"/>
  <c r="M222" i="22" s="1"/>
  <c r="H564" i="14" s="1"/>
  <c r="I95" i="22"/>
  <c r="I198" i="22"/>
  <c r="I201" i="22" s="1"/>
  <c r="I129" i="22"/>
  <c r="I132" i="22" s="1"/>
  <c r="I214" i="22"/>
  <c r="I217" i="22" s="1"/>
  <c r="D95" i="22"/>
  <c r="F28" i="5" s="1"/>
  <c r="F26" i="5"/>
  <c r="D129" i="22"/>
  <c r="D214" i="22"/>
  <c r="H557" i="14" s="1"/>
  <c r="F27" i="37" s="1"/>
  <c r="D198" i="22"/>
  <c r="H542" i="14" s="1"/>
  <c r="F25" i="37" s="1"/>
  <c r="I104" i="22"/>
  <c r="I207" i="22"/>
  <c r="I223" i="22"/>
  <c r="H560" i="14" s="1"/>
  <c r="I89" i="22"/>
  <c r="J101" i="22"/>
  <c r="J86" i="22"/>
  <c r="H204" i="22"/>
  <c r="I544" i="14" s="1"/>
  <c r="H220" i="22"/>
  <c r="I559" i="14" s="1"/>
  <c r="L198" i="22"/>
  <c r="L201" i="22" s="1"/>
  <c r="L205" i="22" s="1"/>
  <c r="L214" i="22"/>
  <c r="L217" i="22" s="1"/>
  <c r="L221" i="22" s="1"/>
  <c r="L222" i="22" s="1"/>
  <c r="H563" i="14" s="1"/>
  <c r="H198" i="22"/>
  <c r="H214" i="22"/>
  <c r="K198" i="22"/>
  <c r="K201" i="22" s="1"/>
  <c r="K205" i="22" s="1"/>
  <c r="K214" i="22"/>
  <c r="K217" i="22" s="1"/>
  <c r="K221" i="22" s="1"/>
  <c r="K222" i="22" s="1"/>
  <c r="H562" i="14" s="1"/>
  <c r="AM18" i="14"/>
  <c r="H135" i="22"/>
  <c r="R175" i="13" l="1"/>
  <c r="Q175" i="13"/>
  <c r="I98" i="22"/>
  <c r="I102" i="22" s="1"/>
  <c r="I103" i="22" s="1"/>
  <c r="I105" i="22" s="1"/>
  <c r="H164" i="14" s="1"/>
  <c r="H166" i="14" s="1"/>
  <c r="J28" i="5" s="1"/>
  <c r="F29" i="5" s="1"/>
  <c r="H568" i="14"/>
  <c r="J235" i="22"/>
  <c r="J236" i="22" s="1"/>
  <c r="K235" i="22"/>
  <c r="K236" i="22" s="1"/>
  <c r="I235" i="22"/>
  <c r="J152" i="22"/>
  <c r="J153" i="22" s="1"/>
  <c r="I152" i="22"/>
  <c r="I153" i="22" s="1"/>
  <c r="K152" i="22"/>
  <c r="K153" i="22" s="1"/>
  <c r="C93" i="25"/>
  <c r="H373" i="14"/>
  <c r="H280" i="14"/>
  <c r="H279" i="14"/>
  <c r="H372" i="14"/>
  <c r="H148" i="22"/>
  <c r="I568" i="14" s="1"/>
  <c r="H152" i="22"/>
  <c r="H147" i="22"/>
  <c r="I281" i="14"/>
  <c r="I374" i="14"/>
  <c r="I83" i="22"/>
  <c r="I87" i="22" s="1"/>
  <c r="I88" i="22" s="1"/>
  <c r="I90" i="22" s="1"/>
  <c r="H160" i="14" s="1"/>
  <c r="H162" i="14" s="1"/>
  <c r="J26" i="5" s="1"/>
  <c r="H543" i="14"/>
  <c r="I205" i="22"/>
  <c r="I206" i="22" s="1"/>
  <c r="I208" i="22" s="1"/>
  <c r="H546" i="14" s="1"/>
  <c r="J25" i="37" s="1"/>
  <c r="I543" i="14"/>
  <c r="I550" i="14"/>
  <c r="I548" i="14"/>
  <c r="I552" i="14"/>
  <c r="H205" i="22"/>
  <c r="H200" i="22"/>
  <c r="H201" i="22"/>
  <c r="H356" i="14"/>
  <c r="L120" i="22"/>
  <c r="L121" i="22" s="1"/>
  <c r="H362" i="14" s="1"/>
  <c r="H269" i="14"/>
  <c r="H359" i="14"/>
  <c r="H548" i="14"/>
  <c r="K206" i="22"/>
  <c r="H549" i="14" s="1"/>
  <c r="H52" i="37" s="1"/>
  <c r="H167" i="22"/>
  <c r="M120" i="22"/>
  <c r="M121" i="22" s="1"/>
  <c r="H363" i="14" s="1"/>
  <c r="H357" i="14"/>
  <c r="K168" i="22"/>
  <c r="K172" i="22" s="1"/>
  <c r="K174" i="22" s="1"/>
  <c r="L206" i="22"/>
  <c r="H551" i="14" s="1"/>
  <c r="I52" i="37" s="1"/>
  <c r="H550" i="14"/>
  <c r="H365" i="14"/>
  <c r="H272" i="14"/>
  <c r="H558" i="14"/>
  <c r="I221" i="22"/>
  <c r="I222" i="22" s="1"/>
  <c r="I224" i="22" s="1"/>
  <c r="H561" i="14" s="1"/>
  <c r="J27" i="37" s="1"/>
  <c r="I172" i="22"/>
  <c r="I174" i="22" s="1"/>
  <c r="H391" i="14"/>
  <c r="M206" i="22"/>
  <c r="H553" i="14" s="1"/>
  <c r="J52" i="37" s="1"/>
  <c r="H552" i="14"/>
  <c r="H366" i="14"/>
  <c r="I136" i="22"/>
  <c r="I137" i="22" s="1"/>
  <c r="H273" i="14"/>
  <c r="H545" i="14"/>
  <c r="H355" i="14"/>
  <c r="K120" i="22"/>
  <c r="K121" i="22" s="1"/>
  <c r="H361" i="14" s="1"/>
  <c r="I558" i="14"/>
  <c r="H217" i="22"/>
  <c r="H221" i="22"/>
  <c r="H216" i="22"/>
  <c r="L168" i="22"/>
  <c r="L172" i="22" s="1"/>
  <c r="L174" i="22" s="1"/>
  <c r="H276" i="14"/>
  <c r="H369" i="14"/>
  <c r="H266" i="14"/>
  <c r="F29" i="24" s="1"/>
  <c r="H353" i="14"/>
  <c r="E38" i="26"/>
  <c r="H292" i="14"/>
  <c r="H390" i="14"/>
  <c r="H354" i="14"/>
  <c r="I120" i="22"/>
  <c r="I121" i="22" s="1"/>
  <c r="I123" i="22" s="1"/>
  <c r="I125" i="22" s="1"/>
  <c r="M168" i="22"/>
  <c r="M172" i="22" s="1"/>
  <c r="M174" i="22" s="1"/>
  <c r="AM19" i="14"/>
  <c r="I358" i="14"/>
  <c r="I268" i="14"/>
  <c r="I392" i="14"/>
  <c r="I294" i="14"/>
  <c r="I355" i="14"/>
  <c r="I356" i="14"/>
  <c r="H116" i="22"/>
  <c r="H115" i="22"/>
  <c r="H120" i="22"/>
  <c r="I391" i="14"/>
  <c r="I354" i="14"/>
  <c r="I267" i="14"/>
  <c r="I367" i="14"/>
  <c r="I274" i="14"/>
  <c r="H131" i="22"/>
  <c r="H132" i="22"/>
  <c r="H136" i="22"/>
  <c r="H172" i="22"/>
  <c r="H168" i="22"/>
  <c r="F8" i="14"/>
  <c r="H8" i="14"/>
  <c r="I8" i="14"/>
  <c r="J8" i="14"/>
  <c r="H185" i="14" s="1"/>
  <c r="K8" i="14"/>
  <c r="L8" i="14"/>
  <c r="M8" i="14"/>
  <c r="N8" i="14"/>
  <c r="O8" i="14"/>
  <c r="P8" i="14"/>
  <c r="U8" i="14"/>
  <c r="V8" i="14"/>
  <c r="W8" i="14"/>
  <c r="X8" i="14"/>
  <c r="Y8" i="14"/>
  <c r="H142" i="14" s="1"/>
  <c r="H143" i="14" s="1"/>
  <c r="Z8" i="14"/>
  <c r="H145" i="14" s="1"/>
  <c r="AA8" i="14"/>
  <c r="AB8" i="14"/>
  <c r="AC8" i="14"/>
  <c r="AE8" i="14"/>
  <c r="AF8" i="14"/>
  <c r="AG8" i="14"/>
  <c r="AH8" i="14"/>
  <c r="E8" i="14"/>
  <c r="Q176" i="13" l="1"/>
  <c r="R176" i="13"/>
  <c r="H283" i="14"/>
  <c r="H376" i="14"/>
  <c r="H569" i="14"/>
  <c r="I236" i="22"/>
  <c r="C94" i="25"/>
  <c r="C95" i="25" s="1"/>
  <c r="C96" i="25" s="1"/>
  <c r="C97" i="25" s="1"/>
  <c r="C98" i="25" s="1"/>
  <c r="C99" i="25" s="1"/>
  <c r="C100" i="25" s="1"/>
  <c r="C101" i="25" s="1"/>
  <c r="C102" i="25" s="1"/>
  <c r="C103" i="25" s="1"/>
  <c r="C104" i="25" s="1"/>
  <c r="C105" i="25" s="1"/>
  <c r="C106" i="25" s="1"/>
  <c r="C107" i="25" s="1"/>
  <c r="C108" i="25" s="1"/>
  <c r="C109" i="25" s="1"/>
  <c r="C110" i="25" s="1"/>
  <c r="C111" i="25" s="1"/>
  <c r="C112" i="25" s="1"/>
  <c r="C113" i="25" s="1"/>
  <c r="C114" i="25" s="1"/>
  <c r="C115" i="25" s="1"/>
  <c r="C116" i="25" s="1"/>
  <c r="C117" i="25" s="1"/>
  <c r="C118" i="25" s="1"/>
  <c r="C119" i="25" s="1"/>
  <c r="C120" i="25" s="1"/>
  <c r="C121" i="25" s="1"/>
  <c r="P139" i="25"/>
  <c r="P144" i="25"/>
  <c r="P145" i="25" s="1"/>
  <c r="F33" i="24"/>
  <c r="H374" i="14"/>
  <c r="I373" i="14"/>
  <c r="I280" i="14"/>
  <c r="H360" i="14"/>
  <c r="F31" i="24"/>
  <c r="I139" i="22"/>
  <c r="F28" i="37"/>
  <c r="F26" i="37"/>
  <c r="H393" i="14"/>
  <c r="H299" i="14"/>
  <c r="H295" i="14"/>
  <c r="H275" i="14"/>
  <c r="H368" i="14"/>
  <c r="F27" i="5"/>
  <c r="F23" i="5"/>
  <c r="AM20" i="14"/>
  <c r="H605" i="14"/>
  <c r="H614" i="14"/>
  <c r="I273" i="14"/>
  <c r="I366" i="14"/>
  <c r="H128" i="14"/>
  <c r="F118" i="14"/>
  <c r="H149" i="14"/>
  <c r="H148" i="14"/>
  <c r="H127" i="14"/>
  <c r="H144" i="14"/>
  <c r="H146" i="14" s="1"/>
  <c r="H147" i="14" s="1"/>
  <c r="H120" i="14"/>
  <c r="H122" i="14" s="1"/>
  <c r="H201" i="14" s="1"/>
  <c r="H124" i="14"/>
  <c r="H138" i="14"/>
  <c r="R177" i="13" l="1"/>
  <c r="Q177" i="13"/>
  <c r="I29" i="24"/>
  <c r="F30" i="24" s="1"/>
  <c r="H571" i="14"/>
  <c r="H570" i="14"/>
  <c r="I238" i="22"/>
  <c r="I240" i="22" s="1"/>
  <c r="P150" i="25"/>
  <c r="P151" i="25" s="1"/>
  <c r="P147" i="25"/>
  <c r="P148" i="25" s="1"/>
  <c r="E148" i="25"/>
  <c r="H250" i="14" s="1"/>
  <c r="H335" i="14"/>
  <c r="H375" i="14"/>
  <c r="I155" i="22"/>
  <c r="H282" i="14"/>
  <c r="I141" i="22"/>
  <c r="H370" i="14" s="1"/>
  <c r="H184" i="14"/>
  <c r="H186" i="14" s="1"/>
  <c r="H174" i="14"/>
  <c r="I174" i="14" s="1"/>
  <c r="H215" i="14"/>
  <c r="I215" i="14" s="1"/>
  <c r="F20" i="5"/>
  <c r="H192" i="14"/>
  <c r="AM21" i="14"/>
  <c r="H123" i="14"/>
  <c r="P2" i="16"/>
  <c r="Q2" i="16"/>
  <c r="O2" i="16"/>
  <c r="C2" i="16"/>
  <c r="B2" i="16"/>
  <c r="C36" i="16"/>
  <c r="I36" i="16" s="1"/>
  <c r="K36" i="16" s="1"/>
  <c r="C35" i="16"/>
  <c r="I35" i="16" s="1"/>
  <c r="K35" i="16" s="1"/>
  <c r="C27" i="16"/>
  <c r="C28" i="16"/>
  <c r="C26" i="16"/>
  <c r="C15" i="16"/>
  <c r="C16" i="16"/>
  <c r="C17" i="16"/>
  <c r="C18" i="16"/>
  <c r="C19" i="16"/>
  <c r="C20" i="16"/>
  <c r="C21" i="16"/>
  <c r="C22" i="16"/>
  <c r="C23" i="16"/>
  <c r="C14" i="16"/>
  <c r="B42" i="16"/>
  <c r="M23" i="48" s="1"/>
  <c r="O29" i="16" s="1"/>
  <c r="B36" i="16"/>
  <c r="B35" i="16"/>
  <c r="B27" i="16"/>
  <c r="B28" i="16"/>
  <c r="B26" i="16"/>
  <c r="B23" i="16"/>
  <c r="B15" i="16"/>
  <c r="B16" i="16"/>
  <c r="B17" i="16"/>
  <c r="B18" i="16"/>
  <c r="B19" i="16"/>
  <c r="B20" i="16"/>
  <c r="B21" i="16"/>
  <c r="B22" i="16"/>
  <c r="B14" i="16"/>
  <c r="K34" i="16"/>
  <c r="K33" i="16"/>
  <c r="K32" i="16"/>
  <c r="K31" i="16"/>
  <c r="K30" i="16"/>
  <c r="K29" i="16"/>
  <c r="K28" i="16"/>
  <c r="K27" i="16"/>
  <c r="K26" i="16"/>
  <c r="E27" i="16"/>
  <c r="E28" i="16" s="1"/>
  <c r="E29" i="16" s="1"/>
  <c r="E30" i="16" s="1"/>
  <c r="E31" i="16" s="1"/>
  <c r="E32" i="16" s="1"/>
  <c r="E33" i="16" s="1"/>
  <c r="E34" i="16" s="1"/>
  <c r="E35" i="16" s="1"/>
  <c r="E36" i="16" s="1"/>
  <c r="K25" i="16"/>
  <c r="I24" i="16"/>
  <c r="K24" i="16" s="1"/>
  <c r="I23" i="16"/>
  <c r="K23" i="16" s="1"/>
  <c r="I22" i="16"/>
  <c r="K22" i="16" s="1"/>
  <c r="I21" i="16"/>
  <c r="K21" i="16" s="1"/>
  <c r="I20" i="16"/>
  <c r="K20" i="16" s="1"/>
  <c r="K19" i="16"/>
  <c r="I19" i="16"/>
  <c r="I18" i="16"/>
  <c r="K18" i="16" s="1"/>
  <c r="I17" i="16"/>
  <c r="K17" i="16" s="1"/>
  <c r="K16" i="16"/>
  <c r="K15" i="16"/>
  <c r="K14" i="16"/>
  <c r="E15" i="16"/>
  <c r="E16" i="16" s="1"/>
  <c r="E17" i="16" s="1"/>
  <c r="E18" i="16" s="1"/>
  <c r="E19" i="16" s="1"/>
  <c r="E20" i="16" s="1"/>
  <c r="E21" i="16" s="1"/>
  <c r="E22" i="16" s="1"/>
  <c r="E23" i="16" s="1"/>
  <c r="Q178" i="13" l="1"/>
  <c r="R178" i="13"/>
  <c r="H43" i="5"/>
  <c r="I292" i="55"/>
  <c r="P14" i="16"/>
  <c r="S14" i="16" s="1"/>
  <c r="O26" i="16"/>
  <c r="P16" i="16"/>
  <c r="S16" i="16" s="1"/>
  <c r="P20" i="16"/>
  <c r="S20" i="16" s="1"/>
  <c r="P18" i="16"/>
  <c r="S18" i="16" s="1"/>
  <c r="P22" i="16"/>
  <c r="S22" i="16" s="1"/>
  <c r="P19" i="16"/>
  <c r="S19" i="16" s="1"/>
  <c r="P23" i="16"/>
  <c r="S23" i="16" s="1"/>
  <c r="P17" i="16"/>
  <c r="S17" i="16" s="1"/>
  <c r="P21" i="16"/>
  <c r="S21" i="16" s="1"/>
  <c r="P15" i="16"/>
  <c r="F36" i="24"/>
  <c r="D42" i="16"/>
  <c r="K45" i="16" s="1"/>
  <c r="I157" i="22"/>
  <c r="I31" i="24"/>
  <c r="F32" i="24" s="1"/>
  <c r="J215" i="14"/>
  <c r="J220" i="14" s="1"/>
  <c r="J222" i="14" s="1"/>
  <c r="R98" i="45" s="1"/>
  <c r="G98" i="45" s="1"/>
  <c r="I220" i="14"/>
  <c r="I222" i="14" s="1"/>
  <c r="K215" i="14"/>
  <c r="K220" i="14" s="1"/>
  <c r="K222" i="14" s="1"/>
  <c r="R101" i="45" s="1"/>
  <c r="G101" i="45" s="1"/>
  <c r="AM22" i="14"/>
  <c r="H154" i="14"/>
  <c r="H153" i="14"/>
  <c r="I155" i="14" s="1"/>
  <c r="C42" i="16"/>
  <c r="Q179" i="13" l="1"/>
  <c r="R179" i="13"/>
  <c r="I308" i="55"/>
  <c r="I307" i="55"/>
  <c r="P29" i="16"/>
  <c r="K42" i="16" s="1"/>
  <c r="S15" i="16"/>
  <c r="S29" i="16" s="1"/>
  <c r="F32" i="5" s="1"/>
  <c r="Q15" i="16"/>
  <c r="Q14" i="16"/>
  <c r="P27" i="16"/>
  <c r="P26" i="16"/>
  <c r="H23" i="48"/>
  <c r="I173" i="14"/>
  <c r="I178" i="14" s="1"/>
  <c r="I179" i="14" s="1"/>
  <c r="R76" i="45" s="1"/>
  <c r="R95" i="45"/>
  <c r="R93" i="45"/>
  <c r="AM23" i="14"/>
  <c r="H208" i="14"/>
  <c r="Q23" i="16"/>
  <c r="Q20" i="16"/>
  <c r="Q16" i="16"/>
  <c r="Q19" i="16"/>
  <c r="Q21" i="16"/>
  <c r="Q17" i="16"/>
  <c r="Q18" i="16"/>
  <c r="Q22" i="16"/>
  <c r="H155" i="14"/>
  <c r="F24" i="5" s="1"/>
  <c r="Q180" i="13" l="1"/>
  <c r="R180" i="13"/>
  <c r="J32" i="5"/>
  <c r="G93" i="45"/>
  <c r="R108" i="45"/>
  <c r="K50" i="5" s="1"/>
  <c r="R77" i="45"/>
  <c r="G77" i="45" s="1"/>
  <c r="J36" i="5"/>
  <c r="G95" i="45"/>
  <c r="J50" i="5"/>
  <c r="H44" i="5"/>
  <c r="AM24" i="14"/>
  <c r="H125" i="14"/>
  <c r="H126" i="14" s="1"/>
  <c r="F42" i="5"/>
  <c r="F19" i="5"/>
  <c r="R181" i="13" l="1"/>
  <c r="Q181" i="13"/>
  <c r="G76" i="45"/>
  <c r="F77" i="45" s="1"/>
  <c r="H189" i="14"/>
  <c r="H48" i="5" s="1"/>
  <c r="H135" i="14"/>
  <c r="H134" i="14"/>
  <c r="I136" i="14" s="1"/>
  <c r="AM25" i="14"/>
  <c r="F55" i="5"/>
  <c r="F41" i="5"/>
  <c r="I13" i="5"/>
  <c r="H11" i="5"/>
  <c r="E12" i="5"/>
  <c r="E13" i="5"/>
  <c r="E14" i="5"/>
  <c r="E15" i="5"/>
  <c r="E11" i="5"/>
  <c r="J4" i="5"/>
  <c r="Q182" i="13" l="1"/>
  <c r="R182" i="13"/>
  <c r="F76" i="45"/>
  <c r="E76" i="45" s="1"/>
  <c r="H136" i="14"/>
  <c r="F21" i="5" s="1"/>
  <c r="AM26" i="14"/>
  <c r="R183" i="13" l="1"/>
  <c r="Q183" i="13"/>
  <c r="E77" i="45"/>
  <c r="H139" i="14"/>
  <c r="I21" i="5" s="1"/>
  <c r="AM27" i="14"/>
  <c r="C9" i="22"/>
  <c r="Q184" i="13" l="1"/>
  <c r="R184" i="13"/>
  <c r="H157" i="14"/>
  <c r="H158" i="14" s="1"/>
  <c r="J24" i="5" s="1"/>
  <c r="H168" i="14" s="1"/>
  <c r="AM28" i="14"/>
  <c r="B2" i="17"/>
  <c r="R185" i="13" l="1"/>
  <c r="Q185" i="13"/>
  <c r="J34" i="5"/>
  <c r="R85" i="45"/>
  <c r="G85" i="45" s="1"/>
  <c r="AM29" i="14"/>
  <c r="Q186" i="13" l="1"/>
  <c r="R186" i="13"/>
  <c r="G78" i="45"/>
  <c r="F98" i="45" s="1"/>
  <c r="R89" i="45"/>
  <c r="K36" i="5" s="1"/>
  <c r="H193" i="14"/>
  <c r="H195" i="14" s="1"/>
  <c r="J292" i="55" s="1"/>
  <c r="H202" i="14"/>
  <c r="H204" i="14" s="1"/>
  <c r="K292" i="55" s="1"/>
  <c r="Q187" i="13" l="1"/>
  <c r="R187" i="13"/>
  <c r="K307" i="55"/>
  <c r="K308" i="55"/>
  <c r="J307" i="55"/>
  <c r="J308" i="55"/>
  <c r="J43" i="5"/>
  <c r="I43" i="5"/>
  <c r="F89" i="45"/>
  <c r="E89" i="45" s="1"/>
  <c r="F94" i="45"/>
  <c r="F105" i="45"/>
  <c r="F92" i="45"/>
  <c r="F106" i="45"/>
  <c r="F82" i="45"/>
  <c r="F97" i="45"/>
  <c r="E98" i="45" s="1"/>
  <c r="F81" i="45"/>
  <c r="F100" i="45"/>
  <c r="F86" i="45"/>
  <c r="F78" i="45"/>
  <c r="E78" i="45" s="1"/>
  <c r="F101" i="45"/>
  <c r="F93" i="45"/>
  <c r="F85" i="45"/>
  <c r="F104" i="45"/>
  <c r="F102" i="45"/>
  <c r="F96" i="45"/>
  <c r="F90" i="45"/>
  <c r="F84" i="45"/>
  <c r="F80" i="45"/>
  <c r="E81" i="45" s="1"/>
  <c r="F107" i="45"/>
  <c r="F103" i="45"/>
  <c r="F99" i="45"/>
  <c r="E99" i="45" s="1"/>
  <c r="F95" i="45"/>
  <c r="F91" i="45"/>
  <c r="F87" i="45"/>
  <c r="E87" i="45" s="1"/>
  <c r="F83" i="45"/>
  <c r="F79" i="45"/>
  <c r="AM31" i="14"/>
  <c r="F43" i="5"/>
  <c r="Q188" i="13" l="1"/>
  <c r="R188" i="13"/>
  <c r="E107" i="45"/>
  <c r="E79" i="45"/>
  <c r="E95" i="45"/>
  <c r="E101" i="45"/>
  <c r="E93" i="45"/>
  <c r="E90" i="45"/>
  <c r="E105" i="45"/>
  <c r="E106" i="45"/>
  <c r="E94" i="45"/>
  <c r="E102" i="45"/>
  <c r="E103" i="45"/>
  <c r="E104" i="45"/>
  <c r="E85" i="45"/>
  <c r="E100" i="45"/>
  <c r="E97" i="45"/>
  <c r="E92" i="45"/>
  <c r="E83" i="45"/>
  <c r="E82" i="45"/>
  <c r="E86" i="45"/>
  <c r="E91" i="45"/>
  <c r="E96" i="45"/>
  <c r="E80" i="45"/>
  <c r="E84" i="45"/>
  <c r="AM32" i="14"/>
  <c r="H210" i="14"/>
  <c r="R189" i="13" l="1"/>
  <c r="Q189" i="13"/>
  <c r="D20" i="51"/>
  <c r="B20" i="51" s="1"/>
  <c r="D19" i="51"/>
  <c r="B19" i="51" s="1"/>
  <c r="D31" i="51"/>
  <c r="B31" i="51" s="1"/>
  <c r="D21" i="51"/>
  <c r="B21" i="51" s="1"/>
  <c r="D36" i="51"/>
  <c r="B36" i="51" s="1"/>
  <c r="D28" i="51"/>
  <c r="D39" i="51"/>
  <c r="B39" i="51" s="1"/>
  <c r="D47" i="51"/>
  <c r="D41" i="51"/>
  <c r="B41" i="51" s="1"/>
  <c r="D23" i="51"/>
  <c r="B23" i="51" s="1"/>
  <c r="D46" i="51"/>
  <c r="D44" i="51"/>
  <c r="D48" i="51"/>
  <c r="D42" i="51"/>
  <c r="D29" i="51"/>
  <c r="B29" i="51" s="1"/>
  <c r="D49" i="51"/>
  <c r="D22" i="51"/>
  <c r="B22" i="51" s="1"/>
  <c r="D26" i="51"/>
  <c r="B26" i="51" s="1"/>
  <c r="D43" i="51"/>
  <c r="D33" i="51"/>
  <c r="B33" i="51" s="1"/>
  <c r="D35" i="51"/>
  <c r="B35" i="51" s="1"/>
  <c r="D45" i="51"/>
  <c r="D40" i="51"/>
  <c r="B40" i="51" s="1"/>
  <c r="D34" i="51"/>
  <c r="B34" i="51" s="1"/>
  <c r="D25" i="51"/>
  <c r="B25" i="51" s="1"/>
  <c r="D30" i="51"/>
  <c r="B30" i="51" s="1"/>
  <c r="D38" i="51"/>
  <c r="B38" i="51" s="1"/>
  <c r="D50" i="51"/>
  <c r="D24" i="51"/>
  <c r="B24" i="51" s="1"/>
  <c r="D37" i="51"/>
  <c r="B37" i="51" s="1"/>
  <c r="D32" i="51"/>
  <c r="B32" i="51" s="1"/>
  <c r="D27" i="51"/>
  <c r="J44" i="5"/>
  <c r="H209" i="14"/>
  <c r="Q190" i="13" l="1"/>
  <c r="R190" i="13"/>
  <c r="B18" i="51"/>
  <c r="H206" i="14"/>
  <c r="J47" i="5" s="1"/>
  <c r="I44" i="5"/>
  <c r="AM33" i="14"/>
  <c r="R191" i="13" l="1"/>
  <c r="Q191" i="13"/>
  <c r="H197" i="14"/>
  <c r="I47" i="5" s="1"/>
  <c r="AM34" i="14"/>
  <c r="Q192" i="13" l="1"/>
  <c r="R192" i="13"/>
  <c r="AM35" i="14"/>
  <c r="R193" i="13" l="1"/>
  <c r="Q193" i="13"/>
  <c r="AM36" i="14"/>
  <c r="Q194" i="13" l="1"/>
  <c r="R194" i="13"/>
  <c r="AM37" i="14"/>
  <c r="Q195" i="13" l="1"/>
  <c r="R195" i="13"/>
  <c r="AM38" i="14"/>
  <c r="Q196" i="13" l="1"/>
  <c r="R196" i="13"/>
  <c r="AM39" i="14"/>
  <c r="R197" i="13" l="1"/>
  <c r="Q197" i="13"/>
  <c r="AM40" i="14"/>
  <c r="Q198" i="13" l="1"/>
  <c r="R198" i="13"/>
  <c r="AM41" i="14"/>
  <c r="R199" i="13" l="1"/>
  <c r="Q199" i="13"/>
  <c r="AM42" i="14"/>
  <c r="Q200" i="13" l="1"/>
  <c r="R200" i="13"/>
  <c r="AM43" i="14"/>
  <c r="R201" i="13" l="1"/>
  <c r="Q201" i="13"/>
  <c r="AM44" i="14"/>
  <c r="Q202" i="13" l="1"/>
  <c r="R202" i="13"/>
  <c r="AM45" i="14"/>
  <c r="Q203" i="13" l="1"/>
  <c r="R203" i="13"/>
  <c r="AM46" i="14"/>
  <c r="B22" i="30"/>
  <c r="Q204" i="13" l="1"/>
  <c r="R204" i="13"/>
  <c r="N22" i="30"/>
  <c r="AM47" i="14"/>
  <c r="B23" i="30"/>
  <c r="N23" i="30" s="1"/>
  <c r="R205" i="13" l="1"/>
  <c r="Q205" i="13"/>
  <c r="AM48" i="14"/>
  <c r="B24" i="30"/>
  <c r="N24" i="30" s="1"/>
  <c r="Q206" i="13" l="1"/>
  <c r="R206" i="13"/>
  <c r="AM49" i="14"/>
  <c r="B25" i="30"/>
  <c r="R207" i="13" l="1"/>
  <c r="Q207" i="13"/>
  <c r="AM50" i="14"/>
  <c r="B26" i="30"/>
  <c r="N26" i="30" s="1"/>
  <c r="N25" i="30"/>
  <c r="Q208" i="13" l="1"/>
  <c r="R208" i="13"/>
  <c r="AM51" i="14"/>
  <c r="B27" i="30"/>
  <c r="N27" i="30" s="1"/>
  <c r="R209" i="13" l="1"/>
  <c r="Q209" i="13"/>
  <c r="AM55" i="14"/>
  <c r="Q210" i="13" l="1"/>
  <c r="R210" i="13"/>
  <c r="AM56" i="14"/>
  <c r="Q211" i="13" l="1"/>
  <c r="R211" i="13"/>
  <c r="AM57" i="14"/>
  <c r="Q212" i="13" l="1"/>
  <c r="R212" i="13"/>
  <c r="AM58" i="14"/>
  <c r="R213" i="13" l="1"/>
  <c r="Q213" i="13"/>
  <c r="AM59" i="14"/>
  <c r="Q214" i="13" l="1"/>
  <c r="R214" i="13"/>
  <c r="AM60" i="14"/>
  <c r="B31" i="30"/>
  <c r="N31" i="30" s="1"/>
  <c r="R215" i="13" l="1"/>
  <c r="Q215" i="13"/>
  <c r="AM61" i="14"/>
  <c r="Q216" i="13" l="1"/>
  <c r="R216" i="13"/>
  <c r="AM62" i="14"/>
  <c r="R217" i="13" l="1"/>
  <c r="Q217" i="13"/>
  <c r="AM63" i="14"/>
  <c r="Q218" i="13" l="1"/>
  <c r="R218" i="13"/>
  <c r="AM64" i="14"/>
  <c r="Q219" i="13" l="1"/>
  <c r="R219" i="13"/>
  <c r="AM65" i="14"/>
  <c r="Q220" i="13" l="1"/>
  <c r="R220" i="13"/>
  <c r="AM66" i="14"/>
  <c r="R221" i="13" l="1"/>
  <c r="Q221" i="13"/>
  <c r="AM67" i="14"/>
  <c r="Q222" i="13" l="1"/>
  <c r="R222" i="13"/>
  <c r="AM68" i="14"/>
  <c r="R223" i="13" l="1"/>
  <c r="Q223" i="13"/>
  <c r="AM69" i="14"/>
  <c r="Q224" i="13" l="1"/>
  <c r="R224" i="13"/>
  <c r="AM70" i="14"/>
  <c r="R225" i="13" l="1"/>
  <c r="Q225" i="13"/>
  <c r="AM71" i="14"/>
  <c r="Q226" i="13" l="1"/>
  <c r="R226" i="13"/>
  <c r="AM72" i="14"/>
  <c r="Q227" i="13" l="1"/>
  <c r="R227" i="13"/>
  <c r="AM73" i="14"/>
  <c r="Q228" i="13" l="1"/>
  <c r="R228" i="13"/>
  <c r="AM74" i="14"/>
  <c r="R229" i="13" l="1"/>
  <c r="Q229" i="13"/>
  <c r="AM75" i="14"/>
  <c r="Q230" i="13" l="1"/>
  <c r="R230" i="13"/>
  <c r="AM76" i="14"/>
  <c r="R231" i="13" l="1"/>
  <c r="Q231" i="13"/>
  <c r="H429" i="14"/>
  <c r="H440" i="14"/>
  <c r="E149" i="25"/>
  <c r="AM77" i="14"/>
  <c r="H236" i="14" s="1"/>
  <c r="H234" i="14" s="1"/>
  <c r="H418" i="14" s="1"/>
  <c r="H420" i="14" s="1"/>
  <c r="Q232" i="13" l="1"/>
  <c r="R232" i="13"/>
  <c r="O292" i="55"/>
  <c r="E292" i="55"/>
  <c r="D33" i="43"/>
  <c r="D58" i="43"/>
  <c r="H230" i="14"/>
  <c r="F63" i="24" s="1"/>
  <c r="D54" i="43"/>
  <c r="D55" i="43" s="1"/>
  <c r="D30" i="43"/>
  <c r="D29" i="43" s="1"/>
  <c r="R233" i="13" l="1"/>
  <c r="Q233" i="13"/>
  <c r="O307" i="55"/>
  <c r="O308" i="55"/>
  <c r="E308" i="55"/>
  <c r="E307" i="55"/>
  <c r="R31" i="45"/>
  <c r="H315" i="14"/>
  <c r="D35" i="43"/>
  <c r="H329" i="14" s="1"/>
  <c r="R47" i="45"/>
  <c r="F40" i="24"/>
  <c r="R27" i="45"/>
  <c r="G27" i="45" s="1"/>
  <c r="C63" i="24"/>
  <c r="H485" i="14"/>
  <c r="D43" i="26"/>
  <c r="H430" i="14"/>
  <c r="H431" i="14" s="1"/>
  <c r="F60" i="24"/>
  <c r="R32" i="45"/>
  <c r="G32" i="45" s="1"/>
  <c r="H457" i="14"/>
  <c r="I457" i="14" s="1"/>
  <c r="I466" i="14" s="1"/>
  <c r="I467" i="14" s="1"/>
  <c r="F20" i="24"/>
  <c r="H328" i="14" s="1"/>
  <c r="H441" i="14"/>
  <c r="F58" i="24"/>
  <c r="R49" i="45"/>
  <c r="G49" i="45" s="1"/>
  <c r="I315" i="14"/>
  <c r="I323" i="14" s="1"/>
  <c r="I324" i="14" s="1"/>
  <c r="I49" i="24"/>
  <c r="I47" i="24"/>
  <c r="C40" i="24"/>
  <c r="F47" i="24"/>
  <c r="H228" i="14"/>
  <c r="E150" i="25"/>
  <c r="F156" i="25" s="1"/>
  <c r="F161" i="25" s="1"/>
  <c r="D45" i="30"/>
  <c r="D46" i="30" s="1"/>
  <c r="H45" i="30" s="1"/>
  <c r="D53" i="30" s="1"/>
  <c r="H385" i="14" s="1"/>
  <c r="H387" i="14" s="1"/>
  <c r="D46" i="26"/>
  <c r="F32" i="29"/>
  <c r="H232" i="14"/>
  <c r="H333" i="14"/>
  <c r="H243" i="14"/>
  <c r="H242" i="14"/>
  <c r="H238" i="14"/>
  <c r="H327" i="14"/>
  <c r="D45" i="26"/>
  <c r="H241" i="14"/>
  <c r="F31" i="29"/>
  <c r="E66" i="23"/>
  <c r="Q234" i="13" l="1"/>
  <c r="R234" i="13"/>
  <c r="P292" i="55"/>
  <c r="F292" i="55"/>
  <c r="H237" i="14"/>
  <c r="H239" i="14" s="1"/>
  <c r="H240" i="14" s="1"/>
  <c r="U41" i="23"/>
  <c r="B38" i="2" s="1"/>
  <c r="F21" i="24"/>
  <c r="H330" i="14"/>
  <c r="I21" i="24" s="1"/>
  <c r="H442" i="14"/>
  <c r="R39" i="45"/>
  <c r="G39" i="45" s="1"/>
  <c r="R40" i="45"/>
  <c r="G40" i="45" s="1"/>
  <c r="G43" i="26"/>
  <c r="G47" i="26" s="1"/>
  <c r="G49" i="26" s="1"/>
  <c r="H650" i="14"/>
  <c r="H660" i="14"/>
  <c r="H662" i="14"/>
  <c r="J49" i="37" s="1"/>
  <c r="H652" i="14"/>
  <c r="I49" i="37" s="1"/>
  <c r="H488" i="14"/>
  <c r="H482" i="14"/>
  <c r="I27" i="24"/>
  <c r="R124" i="45"/>
  <c r="G124" i="45" s="1"/>
  <c r="G31" i="45"/>
  <c r="K457" i="14"/>
  <c r="K466" i="14" s="1"/>
  <c r="K467" i="14" s="1"/>
  <c r="O485" i="14"/>
  <c r="H642" i="14"/>
  <c r="H49" i="37" s="1"/>
  <c r="H675" i="14" s="1"/>
  <c r="H479" i="14"/>
  <c r="H640" i="14"/>
  <c r="H641" i="14" s="1"/>
  <c r="H477" i="14"/>
  <c r="H476" i="14"/>
  <c r="H489" i="14"/>
  <c r="J28" i="24"/>
  <c r="H572" i="14"/>
  <c r="J457" i="14"/>
  <c r="J466" i="14" s="1"/>
  <c r="J467" i="14" s="1"/>
  <c r="I60" i="24" s="1"/>
  <c r="I65" i="24" s="1"/>
  <c r="R60" i="45"/>
  <c r="G60" i="45" s="1"/>
  <c r="H377" i="14"/>
  <c r="H284" i="14"/>
  <c r="F48" i="24"/>
  <c r="H302" i="14"/>
  <c r="J49" i="24" s="1"/>
  <c r="J44" i="24"/>
  <c r="R24" i="45"/>
  <c r="R25" i="45"/>
  <c r="G25" i="45" s="1"/>
  <c r="R33" i="45"/>
  <c r="G33" i="45" s="1"/>
  <c r="H277" i="14"/>
  <c r="J31" i="24" s="1"/>
  <c r="H305" i="14"/>
  <c r="J25" i="24" s="1"/>
  <c r="R55" i="45"/>
  <c r="R57" i="45"/>
  <c r="H51" i="24"/>
  <c r="H41" i="24"/>
  <c r="H297" i="14"/>
  <c r="J47" i="24" s="1"/>
  <c r="H270" i="14"/>
  <c r="J29" i="24" s="1"/>
  <c r="D25" i="43"/>
  <c r="F19" i="24"/>
  <c r="F74" i="24"/>
  <c r="H402" i="14"/>
  <c r="H443" i="14" s="1"/>
  <c r="F56" i="24"/>
  <c r="F164" i="25"/>
  <c r="F165" i="25"/>
  <c r="H684" i="14"/>
  <c r="I684" i="14" s="1"/>
  <c r="R235" i="13" l="1"/>
  <c r="Q235" i="13"/>
  <c r="G292" i="55"/>
  <c r="Q292" i="55"/>
  <c r="F307" i="55"/>
  <c r="F308" i="55"/>
  <c r="P307" i="55"/>
  <c r="P308" i="55"/>
  <c r="H643" i="14"/>
  <c r="L292" i="55" s="1"/>
  <c r="C24" i="37"/>
  <c r="R145" i="45"/>
  <c r="G145" i="45" s="1"/>
  <c r="H60" i="24"/>
  <c r="H67" i="24" s="1"/>
  <c r="H244" i="14"/>
  <c r="R51" i="45" s="1"/>
  <c r="G51" i="45" s="1"/>
  <c r="H379" i="14"/>
  <c r="I33" i="24"/>
  <c r="F34" i="24" s="1"/>
  <c r="F66" i="37"/>
  <c r="H630" i="14"/>
  <c r="J34" i="37" s="1"/>
  <c r="O484" i="14"/>
  <c r="O491" i="14" s="1"/>
  <c r="J173" i="25"/>
  <c r="J60" i="24"/>
  <c r="J65" i="24" s="1"/>
  <c r="C49" i="37"/>
  <c r="F33" i="37"/>
  <c r="C33" i="37"/>
  <c r="F32" i="37"/>
  <c r="C32" i="37"/>
  <c r="F54" i="37"/>
  <c r="H661" i="14"/>
  <c r="F48" i="37"/>
  <c r="G50" i="26"/>
  <c r="H255" i="14" s="1"/>
  <c r="H341" i="14"/>
  <c r="C53" i="37"/>
  <c r="F52" i="37"/>
  <c r="C52" i="37"/>
  <c r="D52" i="37"/>
  <c r="I504" i="14"/>
  <c r="I39" i="37"/>
  <c r="F627" i="14"/>
  <c r="G59" i="37"/>
  <c r="C54" i="37"/>
  <c r="F626" i="14"/>
  <c r="I505" i="14"/>
  <c r="F45" i="37"/>
  <c r="R65" i="45"/>
  <c r="G65" i="45" s="1"/>
  <c r="H338" i="14"/>
  <c r="H251" i="14"/>
  <c r="G55" i="45"/>
  <c r="R141" i="45"/>
  <c r="G141" i="45" s="1"/>
  <c r="F173" i="25"/>
  <c r="O482" i="14"/>
  <c r="H616" i="14"/>
  <c r="J35" i="37" s="1"/>
  <c r="F35" i="37"/>
  <c r="H651" i="14"/>
  <c r="I48" i="37" s="1"/>
  <c r="F19" i="37"/>
  <c r="H634" i="14"/>
  <c r="H484" i="14"/>
  <c r="H599" i="14"/>
  <c r="J24" i="37" s="1"/>
  <c r="F37" i="37"/>
  <c r="J29" i="37"/>
  <c r="F30" i="37" s="1"/>
  <c r="H574" i="14"/>
  <c r="R62" i="45"/>
  <c r="G62" i="45" s="1"/>
  <c r="J33" i="24"/>
  <c r="H286" i="14"/>
  <c r="J69" i="24"/>
  <c r="G57" i="45"/>
  <c r="G24" i="45"/>
  <c r="F49" i="24"/>
  <c r="H247" i="14"/>
  <c r="I689" i="14"/>
  <c r="I690" i="14" s="1"/>
  <c r="J684" i="14"/>
  <c r="J689" i="14" s="1"/>
  <c r="J690" i="14" s="1"/>
  <c r="K684" i="14"/>
  <c r="K689" i="14" s="1"/>
  <c r="K690" i="14" s="1"/>
  <c r="F20" i="37"/>
  <c r="F47" i="37"/>
  <c r="Q236" i="13" l="1"/>
  <c r="R236" i="13"/>
  <c r="L307" i="55"/>
  <c r="L308" i="55"/>
  <c r="Q307" i="55"/>
  <c r="Q308" i="55"/>
  <c r="G307" i="55"/>
  <c r="G308" i="55"/>
  <c r="H245" i="14"/>
  <c r="H248" i="14" s="1"/>
  <c r="H663" i="14"/>
  <c r="N292" i="55" s="1"/>
  <c r="J48" i="37"/>
  <c r="H48" i="37"/>
  <c r="H344" i="14"/>
  <c r="I37" i="24" s="1"/>
  <c r="H486" i="14"/>
  <c r="H629" i="14"/>
  <c r="F34" i="37" s="1"/>
  <c r="I515" i="14"/>
  <c r="R46" i="45"/>
  <c r="H256" i="14"/>
  <c r="R43" i="45" s="1"/>
  <c r="G43" i="45" s="1"/>
  <c r="H339" i="14"/>
  <c r="I36" i="24" s="1"/>
  <c r="H342" i="14"/>
  <c r="H252" i="14"/>
  <c r="J36" i="24" s="1"/>
  <c r="H258" i="14"/>
  <c r="J37" i="24" s="1"/>
  <c r="H653" i="14"/>
  <c r="M292" i="55" s="1"/>
  <c r="F26" i="45"/>
  <c r="F25" i="45"/>
  <c r="F24" i="45"/>
  <c r="E24" i="45" s="1"/>
  <c r="F27" i="45"/>
  <c r="R138" i="45"/>
  <c r="G138" i="45" s="1"/>
  <c r="R140" i="45"/>
  <c r="G140" i="45" s="1"/>
  <c r="R134" i="45"/>
  <c r="J61" i="37" s="1"/>
  <c r="R133" i="45"/>
  <c r="R237" i="13" l="1"/>
  <c r="Q237" i="13"/>
  <c r="N307" i="55"/>
  <c r="N308" i="55"/>
  <c r="M307" i="55"/>
  <c r="M308" i="55"/>
  <c r="I58" i="37"/>
  <c r="H658" i="14"/>
  <c r="H309" i="14"/>
  <c r="J23" i="24" s="1"/>
  <c r="H406" i="14" s="1"/>
  <c r="J42" i="24" s="1"/>
  <c r="J52" i="24" s="1"/>
  <c r="F23" i="24"/>
  <c r="G133" i="45"/>
  <c r="I516" i="14"/>
  <c r="J41" i="37" s="1"/>
  <c r="H487" i="14"/>
  <c r="H491" i="14" s="1"/>
  <c r="H407" i="14"/>
  <c r="D64" i="43" s="1"/>
  <c r="D65" i="43" s="1"/>
  <c r="R44" i="45"/>
  <c r="G44" i="45" s="1"/>
  <c r="C39" i="24" s="1"/>
  <c r="R45" i="45"/>
  <c r="G45" i="45" s="1"/>
  <c r="G46" i="45"/>
  <c r="G47" i="45"/>
  <c r="R64" i="45"/>
  <c r="G64" i="45" s="1"/>
  <c r="E27" i="45"/>
  <c r="E25" i="45"/>
  <c r="E26" i="45"/>
  <c r="G134" i="45"/>
  <c r="J58" i="37"/>
  <c r="Q238" i="13" l="1"/>
  <c r="R238" i="13"/>
  <c r="R112" i="45"/>
  <c r="H493" i="14"/>
  <c r="H495" i="14" s="1"/>
  <c r="J21" i="37" s="1"/>
  <c r="H497" i="14" s="1"/>
  <c r="H498" i="14" s="1"/>
  <c r="J39" i="37" s="1"/>
  <c r="R30" i="45"/>
  <c r="G30" i="45" s="1"/>
  <c r="H408" i="14"/>
  <c r="H409" i="14" s="1"/>
  <c r="I41" i="24" s="1"/>
  <c r="H444" i="14"/>
  <c r="H668" i="14"/>
  <c r="R239" i="13" l="1"/>
  <c r="Q239" i="13"/>
  <c r="H646" i="14"/>
  <c r="H50" i="37" s="1"/>
  <c r="H676" i="14" s="1"/>
  <c r="G112" i="45"/>
  <c r="F113" i="45" s="1"/>
  <c r="R125" i="45"/>
  <c r="G125" i="45" s="1"/>
  <c r="H632" i="14"/>
  <c r="R123" i="45" s="1"/>
  <c r="G123" i="45" s="1"/>
  <c r="R114" i="45"/>
  <c r="G114" i="45" s="1"/>
  <c r="F21" i="37"/>
  <c r="H446" i="14"/>
  <c r="H447" i="14" s="1"/>
  <c r="J61" i="24"/>
  <c r="R67" i="45"/>
  <c r="G67" i="45" s="1"/>
  <c r="R61" i="45"/>
  <c r="R50" i="45"/>
  <c r="R29" i="45"/>
  <c r="G29" i="45" s="1"/>
  <c r="Q240" i="13" l="1"/>
  <c r="R240" i="13"/>
  <c r="H648" i="14"/>
  <c r="H59" i="37"/>
  <c r="F114" i="45"/>
  <c r="E114" i="45" s="1"/>
  <c r="F112" i="45"/>
  <c r="E112" i="45" s="1"/>
  <c r="R128" i="45"/>
  <c r="K41" i="37" s="1"/>
  <c r="F118" i="45"/>
  <c r="F120" i="45"/>
  <c r="F116" i="45"/>
  <c r="F139" i="45"/>
  <c r="F124" i="45"/>
  <c r="F115" i="45"/>
  <c r="F123" i="45"/>
  <c r="F129" i="45"/>
  <c r="F130" i="45"/>
  <c r="F132" i="45"/>
  <c r="F131" i="45"/>
  <c r="F127" i="45"/>
  <c r="F121" i="45"/>
  <c r="F125" i="45"/>
  <c r="F137" i="45"/>
  <c r="F138" i="45"/>
  <c r="F141" i="45"/>
  <c r="F126" i="45"/>
  <c r="F140" i="45"/>
  <c r="F133" i="45"/>
  <c r="F136" i="45"/>
  <c r="F135" i="45"/>
  <c r="F134" i="45"/>
  <c r="F122" i="45"/>
  <c r="F119" i="45"/>
  <c r="F117" i="45"/>
  <c r="G61" i="45"/>
  <c r="R72" i="45"/>
  <c r="K69" i="24" s="1"/>
  <c r="J64" i="24"/>
  <c r="G50" i="45"/>
  <c r="R241" i="13" l="1"/>
  <c r="Q241" i="13"/>
  <c r="E141" i="45"/>
  <c r="R142" i="45"/>
  <c r="E115" i="45"/>
  <c r="E113" i="45"/>
  <c r="E140" i="45"/>
  <c r="E119" i="45"/>
  <c r="E118" i="45"/>
  <c r="E121" i="45"/>
  <c r="E139" i="45"/>
  <c r="E117" i="45"/>
  <c r="E123" i="45"/>
  <c r="E135" i="45"/>
  <c r="E127" i="45"/>
  <c r="E116" i="45"/>
  <c r="E125" i="45"/>
  <c r="E124" i="45"/>
  <c r="E129" i="45"/>
  <c r="E134" i="45"/>
  <c r="E131" i="45"/>
  <c r="E130" i="45"/>
  <c r="E133" i="45"/>
  <c r="E136" i="45"/>
  <c r="E126" i="45"/>
  <c r="E132" i="45"/>
  <c r="E122" i="45"/>
  <c r="E120" i="45"/>
  <c r="E137" i="45"/>
  <c r="E138" i="45"/>
  <c r="B18" i="52"/>
  <c r="Q242" i="13" l="1"/>
  <c r="R242" i="13"/>
  <c r="G142" i="45"/>
  <c r="F142" i="45" s="1"/>
  <c r="E142" i="45" s="1"/>
  <c r="H331" i="14"/>
  <c r="R243" i="13" l="1"/>
  <c r="Q243" i="13"/>
  <c r="D19" i="52"/>
  <c r="B19" i="52" s="1"/>
  <c r="D20" i="52"/>
  <c r="B20" i="52" s="1"/>
  <c r="Q244" i="13" l="1"/>
  <c r="R244" i="13"/>
  <c r="D21" i="52"/>
  <c r="B21" i="52" s="1"/>
  <c r="R52" i="45"/>
  <c r="K44" i="24" s="1"/>
  <c r="I51" i="24"/>
  <c r="R245" i="13" l="1"/>
  <c r="Q245" i="13"/>
  <c r="G28" i="45"/>
  <c r="F48" i="45" s="1"/>
  <c r="Q246" i="13" l="1"/>
  <c r="R246" i="13"/>
  <c r="F46" i="45"/>
  <c r="F47" i="45"/>
  <c r="E48" i="45" s="1"/>
  <c r="F45" i="45"/>
  <c r="F36" i="45"/>
  <c r="F49" i="45"/>
  <c r="F38" i="45"/>
  <c r="F50" i="45"/>
  <c r="F51" i="45"/>
  <c r="F39" i="45"/>
  <c r="F42" i="45"/>
  <c r="F41" i="45"/>
  <c r="F40" i="45"/>
  <c r="F52" i="45"/>
  <c r="F43" i="45"/>
  <c r="F44" i="45"/>
  <c r="F37" i="45"/>
  <c r="F55" i="45"/>
  <c r="F63" i="45"/>
  <c r="F71" i="45"/>
  <c r="F58" i="45"/>
  <c r="F61" i="45"/>
  <c r="F69" i="45"/>
  <c r="F29" i="45"/>
  <c r="F60" i="45"/>
  <c r="F68" i="45"/>
  <c r="F28" i="45"/>
  <c r="E28" i="45" s="1"/>
  <c r="F35" i="45"/>
  <c r="F54" i="45"/>
  <c r="F70" i="45"/>
  <c r="F59" i="45"/>
  <c r="F67" i="45"/>
  <c r="F31" i="45"/>
  <c r="F53" i="45"/>
  <c r="F66" i="45"/>
  <c r="F34" i="45"/>
  <c r="F57" i="45"/>
  <c r="F65" i="45"/>
  <c r="F33" i="45"/>
  <c r="F56" i="45"/>
  <c r="F64" i="45"/>
  <c r="F32" i="45"/>
  <c r="F62" i="45"/>
  <c r="F30" i="45"/>
  <c r="B18" i="50"/>
  <c r="Q247" i="13" l="1"/>
  <c r="R247" i="13"/>
  <c r="E30" i="45"/>
  <c r="E45" i="45"/>
  <c r="E47" i="45"/>
  <c r="E46" i="45"/>
  <c r="E37" i="45"/>
  <c r="E59" i="45"/>
  <c r="E50" i="45"/>
  <c r="E43" i="45"/>
  <c r="E40" i="45"/>
  <c r="E51" i="45"/>
  <c r="E34" i="45"/>
  <c r="E44" i="45"/>
  <c r="E52" i="45"/>
  <c r="E41" i="45"/>
  <c r="E39" i="45"/>
  <c r="E49" i="45"/>
  <c r="E42" i="45"/>
  <c r="E38" i="45"/>
  <c r="E35" i="45"/>
  <c r="E36" i="45"/>
  <c r="E32" i="45"/>
  <c r="E64" i="45"/>
  <c r="E56" i="45"/>
  <c r="E70" i="45"/>
  <c r="E66" i="45"/>
  <c r="E62" i="45"/>
  <c r="E65" i="45"/>
  <c r="E53" i="45"/>
  <c r="E67" i="45"/>
  <c r="E54" i="45"/>
  <c r="E60" i="45"/>
  <c r="E69" i="45"/>
  <c r="E63" i="45"/>
  <c r="E33" i="45"/>
  <c r="E57" i="45"/>
  <c r="E31" i="45"/>
  <c r="E68" i="45"/>
  <c r="E29" i="45"/>
  <c r="E61" i="45"/>
  <c r="E58" i="45"/>
  <c r="E71" i="45"/>
  <c r="E55" i="45"/>
  <c r="Q248" i="13" l="1"/>
  <c r="R248" i="13"/>
  <c r="D19" i="50"/>
  <c r="B19" i="50" s="1"/>
  <c r="D54" i="50"/>
  <c r="B54" i="50" s="1"/>
  <c r="D51" i="50"/>
  <c r="B51" i="50" s="1"/>
  <c r="D20" i="50"/>
  <c r="B20" i="50" s="1"/>
  <c r="D58" i="50"/>
  <c r="D32" i="50"/>
  <c r="B32" i="50" s="1"/>
  <c r="D44" i="50"/>
  <c r="B44" i="50" s="1"/>
  <c r="D42" i="50"/>
  <c r="B42" i="50" s="1"/>
  <c r="D47" i="50"/>
  <c r="B47" i="50" s="1"/>
  <c r="D52" i="50"/>
  <c r="B52" i="50" s="1"/>
  <c r="D59" i="50"/>
  <c r="D50" i="50"/>
  <c r="B50" i="50" s="1"/>
  <c r="D28" i="50"/>
  <c r="B28" i="50" s="1"/>
  <c r="D35" i="50"/>
  <c r="B35" i="50" s="1"/>
  <c r="D41" i="50"/>
  <c r="D33" i="50"/>
  <c r="B33" i="50" s="1"/>
  <c r="D40" i="50"/>
  <c r="D31" i="50"/>
  <c r="B31" i="50" s="1"/>
  <c r="D34" i="50"/>
  <c r="B34" i="50" s="1"/>
  <c r="D49" i="50"/>
  <c r="B49" i="50" s="1"/>
  <c r="D29" i="50"/>
  <c r="B29" i="50" s="1"/>
  <c r="D25" i="50"/>
  <c r="B25" i="50" s="1"/>
  <c r="D43" i="50"/>
  <c r="B43" i="50" s="1"/>
  <c r="D53" i="50"/>
  <c r="B53" i="50" s="1"/>
  <c r="D23" i="50"/>
  <c r="B23" i="50" s="1"/>
  <c r="D56" i="50"/>
  <c r="D37" i="50"/>
  <c r="B37" i="50" s="1"/>
  <c r="D38" i="50"/>
  <c r="B38" i="50" s="1"/>
  <c r="D30" i="50"/>
  <c r="B30" i="50" s="1"/>
  <c r="D55" i="50"/>
  <c r="D45" i="50"/>
  <c r="B45" i="50" s="1"/>
  <c r="D26" i="50"/>
  <c r="B26" i="50" s="1"/>
  <c r="D24" i="50"/>
  <c r="B24" i="50" s="1"/>
  <c r="D57" i="50"/>
  <c r="D21" i="50"/>
  <c r="B21" i="50" s="1"/>
  <c r="D36" i="50"/>
  <c r="B36" i="50" s="1"/>
  <c r="D22" i="50"/>
  <c r="B22" i="50" s="1"/>
  <c r="D48" i="50"/>
  <c r="B48" i="50" s="1"/>
  <c r="D39" i="50"/>
  <c r="D46" i="50"/>
  <c r="B46" i="50" s="1"/>
  <c r="D27" i="50"/>
  <c r="B27" i="50" s="1"/>
  <c r="Q249" i="13" l="1"/>
  <c r="R249" i="13"/>
  <c r="B41" i="50"/>
  <c r="H674" i="14"/>
  <c r="J50" i="37" s="1"/>
  <c r="H678" i="14" s="1"/>
  <c r="R144" i="45" s="1"/>
  <c r="G144" i="45" s="1"/>
  <c r="H673" i="14"/>
  <c r="I50" i="37" s="1"/>
  <c r="H677" i="14" s="1"/>
  <c r="R143" i="45" s="1"/>
  <c r="G143" i="45" s="1"/>
  <c r="H672" i="14"/>
  <c r="F143" i="45" l="1"/>
  <c r="E143" i="45" s="1"/>
  <c r="F145" i="45"/>
  <c r="F146" i="45"/>
  <c r="F149" i="45"/>
  <c r="E149" i="45" s="1"/>
  <c r="F144" i="45"/>
  <c r="E144" i="45" s="1"/>
  <c r="F147" i="45"/>
  <c r="F148" i="45"/>
  <c r="Q250" i="13"/>
  <c r="R250" i="13"/>
  <c r="R150" i="45"/>
  <c r="K61" i="37" s="1"/>
  <c r="H433" i="14"/>
  <c r="H432" i="14"/>
  <c r="H196" i="14"/>
  <c r="H205" i="14"/>
  <c r="H188" i="14"/>
  <c r="E148" i="45" l="1"/>
  <c r="E146" i="45"/>
  <c r="E147" i="45"/>
  <c r="E145" i="45"/>
  <c r="R251" i="13"/>
  <c r="Q251" i="13"/>
  <c r="H421" i="14"/>
  <c r="F61" i="24" s="1"/>
  <c r="H435" i="14"/>
  <c r="I64" i="24" s="1"/>
  <c r="I61" i="24"/>
  <c r="D45" i="52" l="1"/>
  <c r="B45" i="52" s="1"/>
  <c r="D38" i="52"/>
  <c r="B38" i="52" s="1"/>
  <c r="D50" i="52"/>
  <c r="D46" i="52"/>
  <c r="D25" i="52"/>
  <c r="B25" i="52" s="1"/>
  <c r="D23" i="52"/>
  <c r="B23" i="52" s="1"/>
  <c r="D36" i="52"/>
  <c r="B36" i="52" s="1"/>
  <c r="D27" i="52"/>
  <c r="B27" i="52" s="1"/>
  <c r="D40" i="52"/>
  <c r="B40" i="52" s="1"/>
  <c r="D34" i="52"/>
  <c r="B34" i="52" s="1"/>
  <c r="D43" i="52"/>
  <c r="B43" i="52" s="1"/>
  <c r="D24" i="52"/>
  <c r="B24" i="52" s="1"/>
  <c r="D37" i="52"/>
  <c r="B37" i="52" s="1"/>
  <c r="D44" i="52"/>
  <c r="B44" i="52" s="1"/>
  <c r="D28" i="52"/>
  <c r="B28" i="52" s="1"/>
  <c r="D48" i="52"/>
  <c r="D41" i="52"/>
  <c r="B41" i="52" s="1"/>
  <c r="D26" i="52"/>
  <c r="B26" i="52" s="1"/>
  <c r="D22" i="52"/>
  <c r="B22" i="52" s="1"/>
  <c r="D33" i="52"/>
  <c r="D39" i="52"/>
  <c r="B39" i="52" s="1"/>
  <c r="D29" i="52"/>
  <c r="B29" i="52" s="1"/>
  <c r="D42" i="52"/>
  <c r="B42" i="52" s="1"/>
  <c r="D49" i="52"/>
  <c r="D31" i="52"/>
  <c r="B31" i="52" s="1"/>
  <c r="D30" i="52"/>
  <c r="B30" i="52" s="1"/>
  <c r="D35" i="52"/>
  <c r="B35" i="52" s="1"/>
  <c r="D47" i="52"/>
  <c r="D32" i="52"/>
  <c r="Q252" i="13"/>
  <c r="R252" i="13"/>
  <c r="H436" i="14"/>
  <c r="Q253" i="13" l="1"/>
  <c r="R253" i="13"/>
  <c r="H422" i="14"/>
  <c r="R254" i="13" l="1"/>
  <c r="Q254" i="13"/>
  <c r="H424" i="14"/>
  <c r="H61" i="24"/>
  <c r="Q255" i="13" l="1"/>
  <c r="R255" i="13"/>
  <c r="H425" i="14"/>
  <c r="H66" i="24"/>
  <c r="R256" i="13" l="1"/>
  <c r="Q256" i="13"/>
  <c r="Q257" i="13" l="1"/>
  <c r="R257" i="13"/>
  <c r="Q258" i="13" l="1"/>
  <c r="R258" i="13"/>
  <c r="Q259" i="13" l="1"/>
  <c r="R259" i="13"/>
  <c r="R260" i="13" l="1"/>
  <c r="Q260" i="13"/>
  <c r="Q261" i="13" l="1"/>
  <c r="R261" i="13"/>
  <c r="R262" i="13" l="1"/>
  <c r="Q262" i="13"/>
  <c r="Q263" i="13" l="1"/>
  <c r="R263" i="13"/>
  <c r="R264" i="13" l="1"/>
  <c r="Q264" i="13"/>
  <c r="Q265" i="13" l="1"/>
  <c r="R265" i="13"/>
  <c r="R266" i="13" l="1"/>
  <c r="Q266" i="13"/>
  <c r="Q267" i="13" l="1"/>
  <c r="R267" i="13"/>
  <c r="R268" i="13" l="1"/>
  <c r="Q268" i="13"/>
  <c r="Q269" i="13" l="1"/>
  <c r="R269" i="13"/>
  <c r="R270" i="13" l="1"/>
  <c r="Q270" i="13"/>
  <c r="Q271" i="13" l="1"/>
  <c r="R271" i="13"/>
  <c r="R272" i="13" l="1"/>
  <c r="Q272" i="13"/>
  <c r="Q273" i="13" l="1"/>
  <c r="R273" i="13"/>
  <c r="R274" i="13" l="1"/>
  <c r="Q274" i="13"/>
  <c r="Q275" i="13" l="1"/>
  <c r="R275" i="13"/>
  <c r="R276" i="13" l="1"/>
  <c r="Q276" i="13"/>
  <c r="Q277" i="13" l="1"/>
  <c r="R277" i="13"/>
  <c r="R278" i="13" l="1"/>
  <c r="Q278" i="13"/>
  <c r="Q279" i="13" l="1"/>
  <c r="R279" i="13"/>
  <c r="R280" i="13" l="1"/>
  <c r="Q280" i="13"/>
  <c r="Q281" i="13" l="1"/>
  <c r="R281" i="13"/>
  <c r="R282" i="13" l="1"/>
  <c r="Q282" i="13"/>
  <c r="Q283" i="13" l="1"/>
  <c r="R283" i="13"/>
  <c r="R284" i="13" l="1"/>
  <c r="Q284" i="13"/>
  <c r="Q285" i="13" l="1"/>
  <c r="R285" i="13"/>
  <c r="R286" i="13" l="1"/>
  <c r="Q286" i="13"/>
  <c r="Q287" i="13" l="1"/>
  <c r="R287" i="13"/>
  <c r="R288" i="13" l="1"/>
  <c r="Q288" i="13"/>
  <c r="Q289" i="13" l="1"/>
  <c r="R289" i="13"/>
  <c r="R290" i="13" l="1"/>
  <c r="Q290" i="13"/>
  <c r="Q291" i="13" l="1"/>
  <c r="R291" i="13"/>
  <c r="R292" i="13" l="1"/>
  <c r="Q292" i="13"/>
  <c r="Q293" i="13" l="1"/>
  <c r="R293" i="13"/>
  <c r="R294" i="13" l="1"/>
  <c r="Q294" i="13"/>
  <c r="Q295" i="13" l="1"/>
  <c r="R295" i="13"/>
  <c r="R296" i="13" l="1"/>
  <c r="Q296" i="13"/>
  <c r="Q297" i="13" l="1"/>
  <c r="R297" i="13"/>
  <c r="R298" i="13" l="1"/>
  <c r="Q298" i="13"/>
  <c r="Q299" i="13" l="1"/>
  <c r="R299" i="13"/>
  <c r="R300" i="13" l="1"/>
  <c r="Q300" i="13"/>
  <c r="Q301" i="13" l="1"/>
  <c r="R301" i="13"/>
  <c r="R302" i="13" l="1"/>
  <c r="Q302" i="13"/>
  <c r="Q303" i="13" l="1"/>
  <c r="R303" i="13"/>
  <c r="R304" i="13" l="1"/>
  <c r="Q304" i="13"/>
  <c r="Q305" i="13" l="1"/>
  <c r="R305" i="13"/>
  <c r="R306" i="13" l="1"/>
  <c r="Q306" i="13"/>
  <c r="Q307" i="13" l="1"/>
  <c r="R307" i="13"/>
  <c r="R308" i="13" l="1"/>
  <c r="Q308" i="13"/>
  <c r="Q309" i="13" l="1"/>
  <c r="R309" i="13"/>
  <c r="R310" i="13" l="1"/>
  <c r="Q310" i="13"/>
  <c r="Q311" i="13" l="1"/>
  <c r="R311" i="13"/>
  <c r="R312" i="13" l="1"/>
  <c r="Q312" i="13"/>
  <c r="Q313" i="13" l="1"/>
  <c r="R313" i="13"/>
  <c r="R314" i="13" l="1"/>
  <c r="Q314" i="13"/>
  <c r="Q315" i="13" l="1"/>
  <c r="R315" i="13"/>
  <c r="R316" i="13" l="1"/>
  <c r="Q316" i="13"/>
  <c r="Q317" i="13" l="1"/>
  <c r="R317" i="13"/>
  <c r="R318" i="13" l="1"/>
  <c r="Q318" i="13"/>
  <c r="Q319" i="13" l="1"/>
  <c r="R319" i="13"/>
  <c r="R320" i="13" l="1"/>
  <c r="Q320" i="13"/>
  <c r="Q321" i="13" l="1"/>
  <c r="R321" i="13"/>
  <c r="R322" i="13" l="1"/>
  <c r="Q322" i="13"/>
  <c r="Q323" i="13" l="1"/>
  <c r="R323" i="13"/>
  <c r="R324" i="13" l="1"/>
  <c r="Q324" i="13"/>
  <c r="Q325" i="13" l="1"/>
  <c r="R325" i="13"/>
  <c r="R326" i="13" l="1"/>
  <c r="Q326" i="13"/>
  <c r="Q327" i="13" l="1"/>
  <c r="R327" i="13"/>
  <c r="R328" i="13" l="1"/>
  <c r="Q328" i="13"/>
  <c r="Q329" i="13" l="1"/>
  <c r="R329" i="13"/>
  <c r="R330" i="13" l="1"/>
  <c r="Q330" i="13"/>
  <c r="Q331" i="13" l="1"/>
  <c r="R331" i="13"/>
  <c r="R332" i="13" l="1"/>
  <c r="Q332" i="13"/>
  <c r="Q333" i="13" l="1"/>
  <c r="R333" i="13"/>
  <c r="R334" i="13" l="1"/>
  <c r="Q334" i="13"/>
  <c r="Q335" i="13" l="1"/>
  <c r="R335" i="13"/>
  <c r="R336" i="13" l="1"/>
  <c r="Q336" i="13"/>
  <c r="Q337" i="13" l="1"/>
  <c r="R337" i="13"/>
  <c r="R338" i="13" l="1"/>
  <c r="Q338" i="13"/>
  <c r="Q339" i="13" l="1"/>
  <c r="R339" i="13"/>
  <c r="R340" i="13" l="1"/>
  <c r="Q340" i="13"/>
  <c r="Q341" i="13" l="1"/>
  <c r="R341" i="13"/>
  <c r="R342" i="13" l="1"/>
  <c r="Q342" i="13"/>
  <c r="Q343" i="13" l="1"/>
  <c r="R343" i="13"/>
  <c r="R344" i="13" l="1"/>
  <c r="Q344" i="13"/>
  <c r="Q345" i="13" l="1"/>
  <c r="R345" i="13"/>
  <c r="R346" i="13" l="1"/>
  <c r="Q346" i="13"/>
  <c r="Q347" i="13" l="1"/>
  <c r="R347" i="13"/>
  <c r="R348" i="13" l="1"/>
  <c r="Q348" i="13"/>
  <c r="Q349" i="13" l="1"/>
  <c r="R349" i="13"/>
  <c r="R350" i="13" l="1"/>
  <c r="Q350" i="13"/>
  <c r="Q351" i="13" l="1"/>
  <c r="R351" i="13"/>
  <c r="R352" i="13" l="1"/>
  <c r="Q352" i="13"/>
  <c r="Q353" i="13" l="1"/>
  <c r="R353" i="13"/>
  <c r="R354" i="13" l="1"/>
  <c r="Q354" i="13"/>
  <c r="Q355" i="13" l="1"/>
  <c r="R355" i="13"/>
  <c r="R356" i="13" l="1"/>
  <c r="Q356" i="13"/>
  <c r="Q357" i="13" l="1"/>
  <c r="R357" i="13"/>
  <c r="R358" i="13" l="1"/>
  <c r="Q358" i="13"/>
  <c r="Q359" i="13" l="1"/>
  <c r="R359" i="13"/>
  <c r="R360" i="13" l="1"/>
  <c r="Q360" i="13"/>
  <c r="Q361" i="13" l="1"/>
  <c r="R361" i="13"/>
  <c r="R362" i="13" l="1"/>
  <c r="Q362" i="13"/>
  <c r="Q363" i="13" l="1"/>
  <c r="R363" i="13"/>
  <c r="R364" i="13" l="1"/>
  <c r="Q364" i="13"/>
  <c r="Q365" i="13" l="1"/>
  <c r="R365" i="13"/>
  <c r="R366" i="13" l="1"/>
  <c r="Q366" i="13"/>
  <c r="Q367" i="13" l="1"/>
  <c r="R367" i="13"/>
  <c r="R368" i="13" l="1"/>
  <c r="Q368" i="13"/>
  <c r="Q369" i="13" l="1"/>
  <c r="R369" i="13"/>
  <c r="R370" i="13" l="1"/>
  <c r="Q370" i="13"/>
  <c r="Q371" i="13" l="1"/>
  <c r="R371" i="13"/>
  <c r="R372" i="13" l="1"/>
  <c r="Q372" i="13"/>
  <c r="Q373" i="13" l="1"/>
  <c r="R373" i="13"/>
  <c r="R374" i="13" l="1"/>
  <c r="Q374" i="13"/>
  <c r="Q375" i="13" l="1"/>
  <c r="R375" i="13"/>
  <c r="R376" i="13" l="1"/>
  <c r="Q376" i="13"/>
  <c r="Q377" i="13" l="1"/>
  <c r="R377" i="13"/>
  <c r="R378" i="13" l="1"/>
  <c r="Q378" i="13"/>
  <c r="Q379" i="13" l="1"/>
  <c r="R379" i="13"/>
  <c r="R380" i="13" l="1"/>
  <c r="Q380" i="13"/>
  <c r="Q381" i="13" l="1"/>
  <c r="R381" i="13"/>
  <c r="Q382" i="13" l="1"/>
  <c r="R382" i="13"/>
  <c r="Q383" i="13" l="1"/>
  <c r="R383" i="13"/>
  <c r="R384" i="13" l="1"/>
  <c r="Q384" i="13"/>
  <c r="Q385" i="13" l="1"/>
  <c r="R385" i="13"/>
  <c r="R386" i="13" l="1"/>
  <c r="Q386" i="13"/>
  <c r="Q387" i="13" l="1"/>
  <c r="R387" i="13"/>
  <c r="R388" i="13" l="1"/>
  <c r="Q388" i="13"/>
  <c r="Q389" i="13" l="1"/>
  <c r="R389" i="13"/>
  <c r="R390" i="13" l="1"/>
  <c r="Q390" i="13"/>
  <c r="Q391" i="13" l="1"/>
  <c r="R391" i="13"/>
  <c r="R392" i="13" l="1"/>
  <c r="Q392" i="13"/>
  <c r="Q393" i="13" l="1"/>
  <c r="R393" i="13"/>
  <c r="R394" i="13" l="1"/>
  <c r="Q394" i="13"/>
  <c r="Q395" i="13" l="1"/>
  <c r="R395" i="13"/>
  <c r="R396" i="13" l="1"/>
  <c r="Q396" i="13"/>
  <c r="Q397" i="13" l="1"/>
  <c r="R397" i="13"/>
  <c r="R398" i="13" l="1"/>
  <c r="Q398" i="13"/>
  <c r="Q399" i="13" l="1"/>
  <c r="R399" i="13"/>
  <c r="R400" i="13" l="1"/>
  <c r="Q400" i="13"/>
  <c r="Q401" i="13" l="1"/>
  <c r="R401" i="13"/>
  <c r="R402" i="13" l="1"/>
  <c r="Q402" i="13"/>
  <c r="Q403" i="13" l="1"/>
  <c r="R403" i="13"/>
  <c r="R404" i="13" l="1"/>
  <c r="Q404" i="13"/>
  <c r="Q405" i="13" l="1"/>
  <c r="R405" i="13"/>
  <c r="R406" i="13" l="1"/>
  <c r="Q406" i="13"/>
  <c r="Q407" i="13" l="1"/>
  <c r="R407" i="13"/>
  <c r="R408" i="13" l="1"/>
  <c r="Q408" i="13"/>
  <c r="Q409" i="13" l="1"/>
  <c r="R409" i="13"/>
  <c r="R410" i="13" l="1"/>
  <c r="Q410" i="13"/>
  <c r="Q411" i="13" l="1"/>
  <c r="R411" i="13"/>
  <c r="R412" i="13" l="1"/>
  <c r="Q412" i="13"/>
  <c r="Q413" i="13" l="1"/>
  <c r="R413" i="13"/>
  <c r="R414" i="13" l="1"/>
  <c r="Q414" i="13"/>
  <c r="Q415" i="13" l="1"/>
  <c r="R415" i="13"/>
  <c r="R416" i="13" l="1"/>
  <c r="Q416" i="13"/>
  <c r="Q417" i="13" l="1"/>
  <c r="R417" i="13"/>
  <c r="R418" i="13" l="1"/>
  <c r="Q418" i="13"/>
  <c r="Q419" i="13" l="1"/>
  <c r="R419" i="13"/>
  <c r="R420" i="13" l="1"/>
  <c r="Q420" i="13"/>
  <c r="Q421" i="13" l="1"/>
  <c r="R421" i="13"/>
  <c r="R422" i="13" l="1"/>
  <c r="Q422" i="13"/>
  <c r="Q423" i="13" l="1"/>
  <c r="R423" i="13"/>
  <c r="R424" i="13" l="1"/>
  <c r="Q424" i="13"/>
  <c r="Q425" i="13" l="1"/>
  <c r="R425" i="13"/>
  <c r="R426" i="13" l="1"/>
  <c r="Q426" i="13"/>
  <c r="Q427" i="13" l="1"/>
  <c r="R427" i="13"/>
  <c r="R428" i="13" l="1"/>
  <c r="Q428" i="13"/>
  <c r="Q429" i="13" l="1"/>
  <c r="R429" i="13"/>
  <c r="R430" i="13" l="1"/>
  <c r="Q430" i="13"/>
  <c r="Q431" i="13" l="1"/>
  <c r="R431" i="13"/>
  <c r="R432" i="13" l="1"/>
  <c r="Q432" i="13"/>
  <c r="Q433" i="13" l="1"/>
  <c r="R433" i="13"/>
  <c r="R434" i="13" l="1"/>
  <c r="Q434" i="13"/>
  <c r="Q435" i="13" l="1"/>
  <c r="R435" i="13"/>
  <c r="R436" i="13" l="1"/>
  <c r="Q436" i="13"/>
  <c r="Q437" i="13" l="1"/>
  <c r="R437" i="13"/>
  <c r="R438" i="13" l="1"/>
  <c r="Q438" i="13"/>
  <c r="Q439" i="13" l="1"/>
  <c r="R439" i="13"/>
  <c r="R440" i="13" l="1"/>
  <c r="Q440" i="13"/>
  <c r="Q441" i="13" l="1"/>
  <c r="R441" i="13"/>
  <c r="R442" i="13" l="1"/>
  <c r="Q442" i="13"/>
  <c r="Q443" i="13" l="1"/>
  <c r="R443" i="13"/>
  <c r="R444" i="13" l="1"/>
  <c r="Q444" i="13"/>
  <c r="Q445" i="13" l="1"/>
  <c r="R445" i="13"/>
  <c r="R446" i="13" l="1"/>
  <c r="Q446" i="13"/>
  <c r="Q447" i="13" l="1"/>
  <c r="R447" i="13"/>
  <c r="R448" i="13" l="1"/>
  <c r="Q448" i="13"/>
  <c r="Q449" i="13" l="1"/>
  <c r="R449" i="13"/>
  <c r="R450" i="13" l="1"/>
  <c r="Q450" i="13"/>
  <c r="Q451" i="13" l="1"/>
  <c r="R451" i="13"/>
  <c r="R452" i="13" l="1"/>
  <c r="Q452" i="13"/>
  <c r="Q453" i="13" l="1"/>
  <c r="R453" i="13"/>
  <c r="R454" i="13" l="1"/>
  <c r="Q454" i="13"/>
  <c r="Q455" i="13" l="1"/>
  <c r="R455" i="13"/>
  <c r="R456" i="13" l="1"/>
  <c r="Q456" i="13"/>
  <c r="Q457" i="13" l="1"/>
  <c r="R457" i="13"/>
  <c r="R458" i="13" l="1"/>
  <c r="Q458" i="13"/>
  <c r="Q459" i="13" l="1"/>
  <c r="R459" i="13"/>
  <c r="R460" i="13" l="1"/>
  <c r="Q460" i="13"/>
  <c r="Q461" i="13" l="1"/>
  <c r="R461" i="13"/>
  <c r="Q462" i="13" l="1"/>
  <c r="R462" i="13"/>
  <c r="Q463" i="13" l="1"/>
  <c r="R463" i="13"/>
  <c r="R464" i="13" l="1"/>
  <c r="Q464" i="13"/>
  <c r="Q465" i="13" l="1"/>
  <c r="R465" i="13"/>
  <c r="R466" i="13" l="1"/>
  <c r="Q466" i="13"/>
  <c r="Q467" i="13" l="1"/>
  <c r="R467" i="13"/>
  <c r="R468" i="13" l="1"/>
  <c r="Q468" i="13"/>
  <c r="Q469" i="13" l="1"/>
  <c r="R469" i="13"/>
  <c r="Q470" i="13" l="1"/>
  <c r="R470" i="13"/>
  <c r="R471" i="13" l="1"/>
  <c r="Q471" i="13"/>
  <c r="Q472" i="13" l="1"/>
  <c r="R472" i="13"/>
  <c r="R473" i="13" l="1"/>
  <c r="Q473" i="13"/>
  <c r="Q474" i="13" l="1"/>
  <c r="R474" i="13"/>
  <c r="R475" i="13" l="1"/>
  <c r="Q475" i="13"/>
  <c r="Q476" i="13" l="1"/>
  <c r="R476" i="13"/>
  <c r="R477" i="13" l="1"/>
  <c r="Q477" i="13"/>
  <c r="Q478" i="13" l="1"/>
  <c r="R478" i="13"/>
  <c r="R479" i="13" l="1"/>
  <c r="Q479" i="13"/>
  <c r="Q480" i="13" l="1"/>
  <c r="R480" i="13"/>
  <c r="R481" i="13" l="1"/>
  <c r="Q481" i="13"/>
  <c r="Q482" i="13" l="1"/>
  <c r="R482" i="13"/>
  <c r="R483" i="13" l="1"/>
  <c r="Q483" i="13"/>
  <c r="Q484" i="13" l="1"/>
  <c r="R484" i="13"/>
  <c r="R485" i="13" l="1"/>
  <c r="Q485" i="13"/>
  <c r="Q486" i="13" l="1"/>
  <c r="R486" i="13"/>
  <c r="R487" i="13" l="1"/>
  <c r="Q487" i="13"/>
  <c r="Q488" i="13" l="1"/>
  <c r="R488" i="13"/>
  <c r="R489" i="13" l="1"/>
  <c r="Q489" i="13"/>
  <c r="Q490" i="13" l="1"/>
  <c r="R490" i="13"/>
  <c r="R491" i="13" l="1"/>
  <c r="Q491" i="13"/>
  <c r="Q492" i="13" l="1"/>
  <c r="R492" i="13"/>
  <c r="R493" i="13" l="1"/>
  <c r="Q493" i="13"/>
  <c r="Q494" i="13" l="1"/>
  <c r="R494" i="13"/>
  <c r="R495" i="13" l="1"/>
  <c r="Q495" i="13"/>
  <c r="Q496" i="13" l="1"/>
  <c r="R496" i="13"/>
  <c r="R497" i="13" l="1"/>
  <c r="Q497" i="13"/>
  <c r="Q498" i="13" l="1"/>
  <c r="R498" i="13"/>
  <c r="R499" i="13" l="1"/>
  <c r="Q499" i="13"/>
  <c r="Q500" i="13" l="1"/>
  <c r="R500" i="13"/>
  <c r="R501" i="13" l="1"/>
  <c r="Q501" i="13"/>
  <c r="Q502" i="13" l="1"/>
  <c r="R502" i="13"/>
  <c r="R503" i="13" l="1"/>
  <c r="Q503" i="13"/>
  <c r="Q504" i="13" l="1"/>
  <c r="R504" i="13"/>
  <c r="Q505" i="13" l="1"/>
  <c r="R505" i="13"/>
  <c r="Q506" i="13" l="1"/>
  <c r="R506" i="13"/>
  <c r="R507" i="13" l="1"/>
  <c r="Q507" i="13"/>
  <c r="Q508" i="13" l="1"/>
  <c r="R508" i="13"/>
  <c r="R509" i="13" l="1"/>
  <c r="Q509" i="13"/>
  <c r="Q510" i="13" l="1"/>
  <c r="R510" i="13"/>
  <c r="R511" i="13" l="1"/>
  <c r="Q511" i="13"/>
  <c r="Q512" i="13" l="1"/>
  <c r="R512" i="13"/>
  <c r="R513" i="13" l="1"/>
  <c r="Q513" i="13"/>
  <c r="Q514" i="13" l="1"/>
  <c r="R514" i="13"/>
  <c r="R515" i="13" l="1"/>
  <c r="Q515" i="13"/>
  <c r="Q516" i="13" l="1"/>
  <c r="R516" i="13"/>
  <c r="R517" i="13" l="1"/>
  <c r="Q517" i="13"/>
  <c r="Q518" i="13" l="1"/>
  <c r="R518" i="13"/>
  <c r="R519" i="13" l="1"/>
  <c r="Q519" i="13"/>
  <c r="Q520" i="13" l="1"/>
  <c r="R520" i="13"/>
  <c r="R521" i="13" l="1"/>
  <c r="Q521" i="13"/>
  <c r="Q522" i="13" l="1"/>
  <c r="R522" i="13"/>
  <c r="R523" i="13" l="1"/>
  <c r="Q523" i="13"/>
  <c r="Q524" i="13" l="1"/>
  <c r="R524" i="13"/>
  <c r="R525" i="13" l="1"/>
  <c r="Q525" i="13"/>
  <c r="Q526" i="13" l="1"/>
  <c r="R526" i="13"/>
  <c r="R527" i="13" l="1"/>
  <c r="Q527" i="13"/>
  <c r="Q528" i="13" l="1"/>
  <c r="R528" i="13"/>
  <c r="R529" i="13" l="1"/>
  <c r="Q529" i="13"/>
  <c r="Q530" i="13" l="1"/>
  <c r="R530" i="13"/>
  <c r="R531" i="13" l="1"/>
  <c r="Q531" i="13"/>
  <c r="Q532" i="13" l="1"/>
  <c r="R532" i="13"/>
  <c r="R533" i="13" l="1"/>
  <c r="Q533" i="13"/>
  <c r="Q534" i="13" l="1"/>
  <c r="R534" i="13"/>
  <c r="R535" i="13" l="1"/>
  <c r="Q535" i="13"/>
  <c r="Q536" i="13" l="1"/>
  <c r="R536" i="13"/>
  <c r="R537" i="13" l="1"/>
  <c r="Q537" i="13"/>
  <c r="Q538" i="13" l="1"/>
  <c r="R538" i="13"/>
  <c r="R539" i="13" l="1"/>
  <c r="Q539" i="13"/>
  <c r="Q540" i="13" l="1"/>
  <c r="R540" i="13"/>
  <c r="R541" i="13" l="1"/>
  <c r="Q541" i="13"/>
  <c r="Q542" i="13" l="1"/>
  <c r="R542" i="13"/>
  <c r="R543" i="13" l="1"/>
  <c r="Q543" i="13"/>
  <c r="Q544" i="13" l="1"/>
  <c r="R544" i="13"/>
  <c r="R545" i="13" l="1"/>
  <c r="Q545" i="13"/>
  <c r="Q546" i="13" l="1"/>
  <c r="R546" i="13"/>
  <c r="R547" i="13" l="1"/>
  <c r="Q547" i="13"/>
  <c r="Q548" i="13" l="1"/>
  <c r="R548" i="13"/>
  <c r="R549" i="13" l="1"/>
  <c r="Q549" i="13"/>
  <c r="Q550" i="13" l="1"/>
  <c r="R550" i="13"/>
  <c r="R551" i="13" l="1"/>
  <c r="Q551" i="13"/>
  <c r="Q552" i="13" l="1"/>
  <c r="R552" i="13"/>
  <c r="R553" i="13" l="1"/>
  <c r="Q553" i="13"/>
  <c r="Q554" i="13" l="1"/>
  <c r="R554" i="13"/>
  <c r="R555" i="13" l="1"/>
  <c r="Q555" i="13"/>
  <c r="Q556" i="13" l="1"/>
  <c r="R556" i="13"/>
  <c r="R557" i="13" l="1"/>
  <c r="Q557" i="13"/>
  <c r="Q558" i="13" l="1"/>
  <c r="R558" i="13"/>
  <c r="R559" i="13" l="1"/>
  <c r="Q559" i="13"/>
  <c r="Q560" i="13" l="1"/>
  <c r="R560" i="13"/>
  <c r="R561" i="13" l="1"/>
  <c r="Q561" i="13"/>
  <c r="Q562" i="13" l="1"/>
  <c r="R562" i="13"/>
  <c r="Q563" i="13" l="1"/>
  <c r="R563" i="13"/>
  <c r="Q564" i="13" l="1"/>
  <c r="R564" i="13"/>
  <c r="R565" i="13" l="1"/>
  <c r="Q565" i="13"/>
  <c r="Q566" i="13" l="1"/>
  <c r="R566" i="13"/>
  <c r="R567" i="13" l="1"/>
  <c r="Q567" i="13"/>
  <c r="Q568" i="13" l="1"/>
  <c r="R568" i="13"/>
  <c r="R569" i="13" l="1"/>
  <c r="Q569" i="13"/>
  <c r="Q570" i="13" l="1"/>
  <c r="R570" i="13"/>
  <c r="R571" i="13" l="1"/>
  <c r="Q571" i="13"/>
  <c r="Q572" i="13" l="1"/>
  <c r="R572" i="13"/>
  <c r="R573" i="13" l="1"/>
  <c r="Q573" i="13"/>
  <c r="Q574" i="13" l="1"/>
  <c r="R574" i="13"/>
  <c r="R575" i="13" l="1"/>
  <c r="Q575" i="13"/>
  <c r="Q576" i="13" l="1"/>
  <c r="R576" i="13"/>
  <c r="R577" i="13" l="1"/>
  <c r="Q577" i="13"/>
  <c r="Q578" i="13" l="1"/>
  <c r="R578" i="13"/>
  <c r="Q579" i="13" l="1"/>
  <c r="R579" i="13"/>
  <c r="Q580" i="13" l="1"/>
  <c r="R580" i="13"/>
  <c r="R581" i="13" l="1"/>
  <c r="Q581" i="13"/>
  <c r="R582" i="13" l="1"/>
  <c r="Q582" i="13"/>
  <c r="Q583" i="13" l="1"/>
  <c r="R583" i="13"/>
  <c r="R584" i="13" l="1"/>
  <c r="Q584" i="13"/>
  <c r="R585" i="13" l="1"/>
  <c r="Q585" i="13"/>
  <c r="R586" i="13" l="1"/>
  <c r="Q586" i="13"/>
  <c r="Q587" i="13" l="1"/>
  <c r="R587" i="13"/>
  <c r="Q588" i="13" l="1"/>
  <c r="R588" i="13"/>
  <c r="R589" i="13" l="1"/>
  <c r="Q589" i="13"/>
  <c r="R590" i="13" l="1"/>
  <c r="Q590" i="13"/>
  <c r="Q591" i="13" l="1"/>
  <c r="R591" i="13"/>
  <c r="Q592" i="13" l="1"/>
  <c r="R592" i="13"/>
  <c r="R593" i="13" l="1"/>
  <c r="Q593" i="13"/>
  <c r="R594" i="13" l="1"/>
  <c r="Q594" i="13"/>
  <c r="Q595" i="13" l="1"/>
  <c r="R595" i="13"/>
  <c r="Q596" i="13" l="1"/>
  <c r="R596" i="13"/>
  <c r="R597" i="13" l="1"/>
  <c r="Q597" i="13"/>
  <c r="Q598" i="13" l="1"/>
  <c r="R598" i="13"/>
  <c r="R599" i="13" l="1"/>
  <c r="Q599" i="13"/>
  <c r="Q600" i="13" l="1"/>
  <c r="R600" i="13"/>
  <c r="R601" i="13" l="1"/>
  <c r="Q601" i="13"/>
  <c r="Q602" i="13" l="1"/>
  <c r="R602" i="13"/>
  <c r="Q603" i="13" l="1"/>
  <c r="R603" i="13"/>
  <c r="Q604" i="13" l="1"/>
  <c r="R604" i="13"/>
  <c r="R605" i="13" l="1"/>
  <c r="Q605" i="13"/>
  <c r="Q606" i="13" l="1"/>
  <c r="R606" i="13"/>
  <c r="R607" i="13" l="1"/>
  <c r="Q607" i="13"/>
  <c r="Q608" i="13" l="1"/>
  <c r="R608" i="13"/>
  <c r="R609" i="13" l="1"/>
  <c r="Q609" i="13"/>
  <c r="Q610" i="13" l="1"/>
  <c r="R610" i="13"/>
  <c r="Q611" i="13" l="1"/>
  <c r="R611" i="13"/>
  <c r="Q612" i="13" l="1"/>
  <c r="R612" i="13"/>
  <c r="R613" i="13" l="1"/>
  <c r="Q613" i="13"/>
  <c r="Q614" i="13" l="1"/>
  <c r="R614" i="13"/>
  <c r="R615" i="13" l="1"/>
  <c r="Q615" i="13"/>
  <c r="Q616" i="13" l="1"/>
  <c r="R616" i="13"/>
  <c r="Q617" i="13" l="1"/>
  <c r="R617" i="13"/>
  <c r="Q618" i="13" l="1"/>
  <c r="R618" i="13"/>
  <c r="Q619" i="13" l="1"/>
  <c r="R619" i="13"/>
  <c r="Q620" i="13" l="1"/>
  <c r="R620" i="13"/>
  <c r="R621" i="13" l="1"/>
  <c r="Q621" i="13"/>
  <c r="Q622" i="13" l="1"/>
  <c r="R622" i="13"/>
  <c r="R623" i="13" l="1"/>
  <c r="Q623" i="13"/>
  <c r="Q624" i="13" l="1"/>
  <c r="R624" i="13"/>
  <c r="R625" i="13" l="1"/>
  <c r="Q625" i="13"/>
  <c r="Q626" i="13" l="1"/>
  <c r="R626" i="13"/>
  <c r="Q627" i="13" l="1"/>
  <c r="R627" i="13"/>
  <c r="Q628" i="13" l="1"/>
  <c r="R628" i="13"/>
  <c r="R629" i="13" l="1"/>
  <c r="Q629" i="13"/>
  <c r="Q630" i="13" l="1"/>
  <c r="R630" i="13"/>
  <c r="R631" i="13" l="1"/>
  <c r="Q631" i="13"/>
  <c r="Q632" i="13" l="1"/>
  <c r="R632" i="13"/>
  <c r="R633" i="13" l="1"/>
  <c r="Q633" i="13"/>
  <c r="Q634" i="13" l="1"/>
  <c r="R634" i="13"/>
  <c r="Q635" i="13" l="1"/>
  <c r="R635" i="13"/>
  <c r="Q636" i="13" l="1"/>
  <c r="R636" i="13"/>
  <c r="R637" i="13" l="1"/>
  <c r="Q637" i="13"/>
  <c r="Q638" i="13" l="1"/>
  <c r="R638" i="13"/>
  <c r="R639" i="13" l="1"/>
  <c r="Q639" i="13"/>
  <c r="R640" i="13" l="1"/>
  <c r="Q640" i="13"/>
  <c r="R641" i="13" l="1"/>
  <c r="Q641" i="13"/>
  <c r="Q642" i="13" l="1"/>
  <c r="R642" i="13"/>
  <c r="Q643" i="13" l="1"/>
  <c r="R643" i="13"/>
  <c r="Q644" i="13" l="1"/>
  <c r="R644" i="13"/>
  <c r="R645" i="13" l="1"/>
  <c r="Q645" i="13"/>
  <c r="Q646" i="13" l="1"/>
  <c r="R646" i="13"/>
  <c r="R647" i="13" l="1"/>
  <c r="Q647" i="13"/>
  <c r="Q648" i="13" l="1"/>
  <c r="R648" i="13"/>
  <c r="R649" i="13" l="1"/>
  <c r="Q649" i="13"/>
  <c r="Q650" i="13" l="1"/>
  <c r="R650" i="13"/>
  <c r="Q651" i="13" l="1"/>
  <c r="R651" i="13"/>
  <c r="Q652" i="13" l="1"/>
  <c r="R652" i="13"/>
  <c r="R653" i="13" l="1"/>
  <c r="Q653" i="13"/>
  <c r="Q654" i="13" l="1"/>
  <c r="R654" i="13"/>
  <c r="R655" i="13" l="1"/>
  <c r="Q655" i="13"/>
  <c r="Q656" i="13" l="1"/>
  <c r="R656" i="13"/>
  <c r="R657" i="13" l="1"/>
  <c r="Q657" i="13"/>
  <c r="Q658" i="13" l="1"/>
  <c r="R658" i="13"/>
  <c r="Q659" i="13" l="1"/>
  <c r="R659" i="13"/>
  <c r="Q660" i="13" l="1"/>
  <c r="R660" i="13"/>
  <c r="R661" i="13" l="1"/>
  <c r="Q661" i="13"/>
  <c r="Q662" i="13" l="1"/>
  <c r="R662" i="13"/>
  <c r="Q663" i="13" l="1"/>
  <c r="R663" i="13"/>
  <c r="Q664" i="13" l="1"/>
  <c r="R664" i="13"/>
  <c r="Q665" i="13" l="1"/>
  <c r="R665" i="13"/>
  <c r="Q666" i="13" l="1"/>
  <c r="R666" i="13"/>
  <c r="Q667" i="13" l="1"/>
  <c r="R667" i="13"/>
  <c r="R668" i="13" l="1"/>
  <c r="Q668" i="13"/>
  <c r="R669" i="13" l="1"/>
  <c r="Q669" i="13"/>
  <c r="Q670" i="13" l="1"/>
  <c r="R670" i="13"/>
  <c r="R671" i="13" l="1"/>
  <c r="Q671" i="13"/>
  <c r="Q672" i="13" l="1"/>
  <c r="R672" i="13"/>
  <c r="R673" i="13" l="1"/>
  <c r="Q673" i="13"/>
  <c r="Q674" i="13" l="1"/>
  <c r="R674" i="13"/>
  <c r="Q675" i="13" l="1"/>
  <c r="R675" i="13"/>
  <c r="Q676" i="13" l="1"/>
  <c r="R676" i="13"/>
  <c r="R677" i="13" l="1"/>
  <c r="Q677" i="13"/>
  <c r="Q678" i="13" l="1"/>
  <c r="R678" i="13"/>
  <c r="R679" i="13" l="1"/>
  <c r="Q679" i="13"/>
  <c r="Q680" i="13" l="1"/>
  <c r="R680" i="13"/>
  <c r="R681" i="13" l="1"/>
  <c r="Q681" i="13"/>
  <c r="Q682" i="13" l="1"/>
  <c r="R682" i="13"/>
  <c r="Q683" i="13" l="1"/>
  <c r="R683" i="13"/>
  <c r="Q684" i="13" l="1"/>
  <c r="R684" i="13"/>
  <c r="R685" i="13" l="1"/>
  <c r="Q685" i="13"/>
  <c r="R686" i="13" l="1"/>
  <c r="Q686" i="13"/>
  <c r="Q687" i="13" l="1"/>
  <c r="R687" i="13"/>
  <c r="Q688" i="13" l="1"/>
  <c r="R688" i="13"/>
  <c r="R689" i="13" l="1"/>
  <c r="Q689" i="13"/>
  <c r="Q690" i="13" l="1"/>
  <c r="R690" i="13"/>
  <c r="Q691" i="13" l="1"/>
  <c r="R691" i="13"/>
  <c r="Q692" i="13" l="1"/>
  <c r="R692" i="13"/>
  <c r="R693" i="13" l="1"/>
  <c r="Q693" i="13"/>
  <c r="R694" i="13" l="1"/>
  <c r="Q694" i="13"/>
  <c r="Q695" i="13" l="1"/>
  <c r="R695" i="13"/>
  <c r="Q696" i="13" l="1"/>
  <c r="R696" i="13"/>
  <c r="Q697" i="13" l="1"/>
  <c r="R697" i="13"/>
  <c r="R698" i="13" l="1"/>
  <c r="Q698" i="13"/>
  <c r="Q699" i="13" l="1"/>
  <c r="R699" i="13"/>
  <c r="Q700" i="13" l="1"/>
  <c r="R700" i="13"/>
  <c r="Q701" i="13" l="1"/>
  <c r="R701" i="13"/>
  <c r="R702" i="13" l="1"/>
  <c r="Q702" i="13"/>
  <c r="Q703" i="13" l="1"/>
  <c r="R703" i="13"/>
  <c r="Q704" i="13" l="1"/>
  <c r="R704" i="13"/>
  <c r="Q705" i="13" l="1"/>
  <c r="R705" i="13"/>
  <c r="R706" i="13" l="1"/>
  <c r="Q706" i="13"/>
  <c r="Q707" i="13" l="1"/>
  <c r="R707" i="13"/>
  <c r="Q708" i="13" l="1"/>
  <c r="R708" i="13"/>
  <c r="Q709" i="13" l="1"/>
  <c r="R709" i="13"/>
  <c r="R710" i="13" l="1"/>
  <c r="Q710" i="13"/>
  <c r="Q711" i="13" l="1"/>
  <c r="R711" i="13"/>
  <c r="Q712" i="13" l="1"/>
  <c r="R712" i="13"/>
  <c r="Q713" i="13" l="1"/>
  <c r="R713" i="13"/>
  <c r="R714" i="13" l="1"/>
  <c r="Q714" i="13"/>
  <c r="Q715" i="13" l="1"/>
  <c r="R715" i="13"/>
  <c r="Q716" i="13" l="1"/>
  <c r="R716" i="13"/>
  <c r="Q717" i="13" l="1"/>
  <c r="R717" i="13"/>
  <c r="R718" i="13" l="1"/>
  <c r="Q718" i="13"/>
  <c r="Q719" i="13" l="1"/>
  <c r="R719" i="13"/>
  <c r="Q720" i="13" l="1"/>
  <c r="R720" i="13"/>
  <c r="Q721" i="13" l="1"/>
  <c r="R721" i="13"/>
  <c r="R722" i="13" l="1"/>
  <c r="Q722" i="13"/>
  <c r="Q723" i="13" l="1"/>
  <c r="R723" i="13"/>
  <c r="Q724" i="13" l="1"/>
  <c r="R724" i="13"/>
  <c r="Q725" i="13" l="1"/>
  <c r="R725" i="13"/>
  <c r="R726" i="13" l="1"/>
  <c r="Q726" i="13"/>
  <c r="R727" i="13" l="1"/>
  <c r="Q727" i="13"/>
  <c r="Q728" i="13" l="1"/>
  <c r="R728" i="13"/>
  <c r="R729" i="13" l="1"/>
  <c r="Q729" i="13"/>
  <c r="Q730" i="13" l="1"/>
  <c r="R730" i="13"/>
  <c r="R731" i="13" l="1"/>
  <c r="Q731" i="13"/>
  <c r="Q732" i="13" l="1"/>
  <c r="R732" i="13"/>
  <c r="R733" i="13" l="1"/>
  <c r="Q733" i="13"/>
  <c r="Q734" i="13" l="1"/>
  <c r="R734" i="13"/>
  <c r="R735" i="13" l="1"/>
  <c r="Q735" i="13"/>
  <c r="Q736" i="13" l="1"/>
  <c r="R736" i="13"/>
  <c r="R737" i="13" l="1"/>
  <c r="Q737" i="13"/>
  <c r="Q738" i="13" l="1"/>
  <c r="R738" i="13"/>
  <c r="R739" i="13" l="1"/>
  <c r="Q739" i="13"/>
  <c r="Q740" i="13" l="1"/>
  <c r="R740" i="13"/>
  <c r="R741" i="13" l="1"/>
  <c r="Q741" i="13"/>
  <c r="Q742" i="13" l="1"/>
  <c r="R742" i="13"/>
  <c r="R743" i="13" l="1"/>
  <c r="Q743" i="13"/>
  <c r="Q744" i="13" l="1"/>
  <c r="R744" i="13"/>
  <c r="R745" i="13" l="1"/>
  <c r="Q745" i="13"/>
  <c r="Q746" i="13" l="1"/>
  <c r="R746" i="13"/>
  <c r="R747" i="13" l="1"/>
  <c r="Q747" i="13"/>
  <c r="Q748" i="13" l="1"/>
  <c r="R748" i="13"/>
  <c r="R749" i="13" l="1"/>
  <c r="Q749" i="13"/>
  <c r="Q750" i="13" l="1"/>
  <c r="R750" i="13"/>
  <c r="R751" i="13" l="1"/>
  <c r="Q751" i="13"/>
  <c r="Q752" i="13" l="1"/>
  <c r="R752" i="13"/>
  <c r="R753" i="13" l="1"/>
  <c r="Q753" i="13"/>
  <c r="Q754" i="13" l="1"/>
  <c r="R754" i="13"/>
  <c r="R755" i="13" l="1"/>
  <c r="Q755" i="13"/>
  <c r="Q756" i="13" l="1"/>
  <c r="R756" i="13"/>
  <c r="R757" i="13" l="1"/>
  <c r="Q757" i="13"/>
  <c r="Q758" i="13" l="1"/>
  <c r="R758" i="13"/>
  <c r="R759" i="13" l="1"/>
  <c r="Q759" i="13"/>
  <c r="Q760" i="13" l="1"/>
  <c r="R760" i="13"/>
  <c r="R761" i="13" l="1"/>
  <c r="Q761" i="13"/>
  <c r="Q762" i="13" l="1"/>
  <c r="R762" i="13"/>
  <c r="R763" i="13" l="1"/>
  <c r="Q763" i="13"/>
  <c r="Q764" i="13" l="1"/>
  <c r="R764" i="13"/>
  <c r="R765" i="13" l="1"/>
  <c r="Q765" i="13"/>
  <c r="Q766" i="13" l="1"/>
  <c r="R766" i="13"/>
  <c r="R767" i="13" l="1"/>
  <c r="Q767" i="13"/>
  <c r="Q768" i="13" l="1"/>
  <c r="R768" i="13"/>
  <c r="R769" i="13" l="1"/>
  <c r="Q769" i="13"/>
  <c r="Q770" i="13" l="1"/>
  <c r="R770" i="13"/>
  <c r="R771" i="13" l="1"/>
  <c r="Q771" i="13"/>
  <c r="Q772" i="13" l="1"/>
  <c r="R772" i="13"/>
  <c r="R773" i="13" l="1"/>
  <c r="Q773" i="13"/>
  <c r="Q774" i="13" l="1"/>
  <c r="R774" i="13"/>
  <c r="R775" i="13" l="1"/>
  <c r="Q775" i="13"/>
  <c r="Q776" i="13" l="1"/>
  <c r="R776" i="13"/>
  <c r="R777" i="13" l="1"/>
  <c r="Q777" i="13"/>
  <c r="Q778" i="13" l="1"/>
  <c r="R778" i="13"/>
  <c r="R779" i="13" l="1"/>
  <c r="Q779" i="13"/>
  <c r="Q780" i="13" l="1"/>
  <c r="R780" i="13"/>
  <c r="R781" i="13" l="1"/>
  <c r="Q781" i="13"/>
  <c r="Q782" i="13" l="1"/>
  <c r="R782" i="13"/>
  <c r="R783" i="13" l="1"/>
  <c r="Q783" i="13"/>
  <c r="Q784" i="13" l="1"/>
  <c r="R784" i="13"/>
  <c r="R785" i="13" l="1"/>
  <c r="Q785" i="13"/>
  <c r="Q786" i="13" l="1"/>
  <c r="R786" i="13"/>
  <c r="R787" i="13" l="1"/>
  <c r="Q787" i="13"/>
  <c r="Q788" i="13" l="1"/>
  <c r="R788" i="13"/>
  <c r="R789" i="13" l="1"/>
  <c r="Q789" i="13"/>
  <c r="Q790" i="13" l="1"/>
  <c r="R790" i="13"/>
  <c r="R791" i="13" l="1"/>
  <c r="Q791" i="13"/>
  <c r="Q792" i="13" l="1"/>
  <c r="R792" i="13"/>
  <c r="R793" i="13" l="1"/>
  <c r="Q793" i="13"/>
  <c r="Q794" i="13" l="1"/>
  <c r="R794" i="13"/>
  <c r="R795" i="13" l="1"/>
  <c r="Q795" i="13"/>
  <c r="Q796" i="13" l="1"/>
  <c r="R796" i="13"/>
  <c r="R797" i="13" l="1"/>
  <c r="Q797" i="13"/>
  <c r="Q798" i="13" l="1"/>
  <c r="R798" i="13"/>
  <c r="R799" i="13" l="1"/>
  <c r="Q799" i="13"/>
  <c r="Q800" i="13" l="1"/>
  <c r="R800" i="13"/>
  <c r="R801" i="13" l="1"/>
  <c r="Q801" i="13"/>
  <c r="Q802" i="13" l="1"/>
  <c r="R802" i="13"/>
  <c r="R803" i="13" l="1"/>
  <c r="Q803" i="13"/>
  <c r="Q804" i="13" l="1"/>
  <c r="R804" i="13"/>
  <c r="R805" i="13" l="1"/>
  <c r="Q805" i="13"/>
  <c r="Q806" i="13" l="1"/>
  <c r="R806" i="13"/>
  <c r="Q807" i="13" l="1"/>
  <c r="R807" i="13"/>
  <c r="Q808" i="13" l="1"/>
  <c r="R808" i="13"/>
  <c r="Q809" i="13" l="1"/>
  <c r="R809" i="13"/>
  <c r="Q810" i="13" l="1"/>
  <c r="R810" i="13"/>
  <c r="Q811" i="13" l="1"/>
  <c r="R811" i="13"/>
  <c r="R812" i="13" l="1"/>
  <c r="Q812" i="13"/>
  <c r="Q813" i="13" l="1"/>
  <c r="R813" i="13"/>
  <c r="R814" i="13" l="1"/>
  <c r="Q814" i="13"/>
  <c r="Q815" i="13" l="1"/>
  <c r="R815" i="13"/>
  <c r="R816" i="13" l="1"/>
  <c r="Q816" i="13"/>
  <c r="Q817" i="13" l="1"/>
  <c r="R817" i="13"/>
  <c r="Q818" i="13" l="1"/>
  <c r="R818" i="13"/>
  <c r="Q819" i="13" l="1"/>
  <c r="R819" i="13"/>
  <c r="R820" i="13" l="1"/>
  <c r="Q820" i="13"/>
  <c r="Q821" i="13" l="1"/>
  <c r="R821" i="13"/>
  <c r="Q822" i="13" l="1"/>
  <c r="R822" i="13"/>
  <c r="Q823" i="13" l="1"/>
  <c r="R823" i="13"/>
  <c r="R824" i="13" l="1"/>
  <c r="Q824" i="13"/>
  <c r="Q825" i="13" l="1"/>
  <c r="R825" i="13"/>
  <c r="Q826" i="13" l="1"/>
  <c r="R826" i="13"/>
  <c r="Q827" i="13" l="1"/>
  <c r="R827" i="13"/>
  <c r="R828" i="13" l="1"/>
  <c r="Q828" i="13"/>
  <c r="Q829" i="13" l="1"/>
  <c r="R829" i="13"/>
  <c r="Q830" i="13" l="1"/>
  <c r="R830" i="13"/>
  <c r="Q831" i="13" l="1"/>
  <c r="R831" i="13"/>
  <c r="R832" i="13" l="1"/>
  <c r="Q832" i="13"/>
  <c r="Q833" i="13" l="1"/>
  <c r="R833" i="13"/>
  <c r="Q834" i="13" l="1"/>
  <c r="R834" i="13"/>
  <c r="Q835" i="13" l="1"/>
  <c r="R835" i="13"/>
  <c r="Q836" i="13" l="1"/>
  <c r="R836" i="13"/>
  <c r="Q837" i="13" l="1"/>
  <c r="R837" i="13"/>
  <c r="Q838" i="13" l="1"/>
  <c r="R838" i="13"/>
  <c r="Q839" i="13" l="1"/>
  <c r="R839" i="13"/>
  <c r="R840" i="13" l="1"/>
  <c r="Q840" i="13"/>
  <c r="Q841" i="13" l="1"/>
  <c r="R841" i="13"/>
  <c r="Q842" i="13" l="1"/>
  <c r="R842" i="13"/>
  <c r="Q843" i="13" l="1"/>
  <c r="R843" i="13"/>
  <c r="R844" i="13" l="1"/>
  <c r="Q844" i="13"/>
  <c r="Q845" i="13" l="1"/>
  <c r="R845" i="13"/>
  <c r="Q846" i="13" l="1"/>
  <c r="R846" i="13"/>
  <c r="Q847" i="13" l="1"/>
  <c r="R847" i="13"/>
  <c r="Q848" i="13" l="1"/>
  <c r="R848" i="13"/>
  <c r="Q849" i="13" l="1"/>
  <c r="R849" i="13"/>
  <c r="Q850" i="13" l="1"/>
  <c r="R850" i="13"/>
  <c r="Q851" i="13" l="1"/>
  <c r="R851" i="13"/>
  <c r="R852" i="13" l="1"/>
  <c r="Q852" i="13"/>
  <c r="Q853" i="13" l="1"/>
  <c r="R853" i="13"/>
  <c r="Q854" i="13" l="1"/>
  <c r="R854" i="13"/>
  <c r="Q855" i="13" l="1"/>
  <c r="R855" i="13"/>
  <c r="R856" i="13" l="1"/>
  <c r="Q856" i="13"/>
  <c r="Q857" i="13" l="1"/>
  <c r="R857" i="13"/>
  <c r="Q858" i="13" l="1"/>
  <c r="R858" i="13"/>
  <c r="Q859" i="13" l="1"/>
  <c r="R859" i="13"/>
  <c r="R860" i="13" l="1"/>
  <c r="Q860" i="13"/>
  <c r="Q861" i="13" l="1"/>
  <c r="R861" i="13"/>
  <c r="Q862" i="13" l="1"/>
  <c r="R862" i="13"/>
  <c r="Q863" i="13" l="1"/>
  <c r="R863" i="13"/>
  <c r="R864" i="13" l="1"/>
  <c r="Q864" i="13"/>
  <c r="Q865" i="13" l="1"/>
  <c r="R865" i="13"/>
  <c r="Q866" i="13" l="1"/>
  <c r="R866" i="13"/>
  <c r="Q867" i="13" l="1"/>
  <c r="R867" i="13"/>
  <c r="R868" i="13" l="1"/>
  <c r="Q868" i="13"/>
  <c r="Q869" i="13" l="1"/>
  <c r="R869" i="13"/>
  <c r="Q870" i="13" l="1"/>
  <c r="R870" i="13"/>
  <c r="R871" i="13" l="1"/>
  <c r="Q871" i="13"/>
  <c r="R872" i="13" l="1"/>
  <c r="Q872" i="13"/>
  <c r="Q873" i="13" l="1"/>
  <c r="R873" i="13"/>
  <c r="Q874" i="13" l="1"/>
  <c r="R874" i="13"/>
  <c r="Q875" i="13" l="1"/>
  <c r="R875" i="13"/>
  <c r="R876" i="13" l="1"/>
  <c r="Q876" i="13"/>
  <c r="Q877" i="13" l="1"/>
  <c r="R877" i="13"/>
  <c r="Q878" i="13" l="1"/>
  <c r="R878" i="13"/>
  <c r="Q879" i="13" l="1"/>
  <c r="R879" i="13"/>
  <c r="R880" i="13" l="1"/>
  <c r="Q880" i="13"/>
  <c r="Q881" i="13" l="1"/>
  <c r="R881" i="13"/>
  <c r="Q882" i="13" l="1"/>
  <c r="R882" i="13"/>
  <c r="R883" i="13" l="1"/>
  <c r="Q883" i="13"/>
  <c r="R884" i="13" l="1"/>
  <c r="Q884" i="13"/>
  <c r="Q885" i="13" l="1"/>
  <c r="R885" i="13"/>
  <c r="Q886" i="13" l="1"/>
  <c r="R886" i="13"/>
  <c r="Q887" i="13" l="1"/>
  <c r="R887" i="13"/>
  <c r="R888" i="13" l="1"/>
  <c r="Q888" i="13"/>
  <c r="Q889" i="13" l="1"/>
  <c r="R889" i="13"/>
  <c r="Q890" i="13" l="1"/>
  <c r="R890" i="13"/>
  <c r="Q891" i="13" l="1"/>
  <c r="R891" i="13"/>
  <c r="R892" i="13" l="1"/>
  <c r="Q892" i="13"/>
  <c r="Q893" i="13" l="1"/>
  <c r="R893" i="13"/>
  <c r="Q894" i="13" l="1"/>
  <c r="R894" i="13"/>
  <c r="Q895" i="13" l="1"/>
  <c r="R895" i="13"/>
  <c r="R896" i="13" l="1"/>
  <c r="Q896" i="13"/>
  <c r="Q897" i="13" l="1"/>
  <c r="R897" i="13"/>
  <c r="Q898" i="13" l="1"/>
  <c r="R898" i="13"/>
  <c r="Q899" i="13" l="1"/>
  <c r="R899" i="13"/>
  <c r="R900" i="13" l="1"/>
  <c r="Q900" i="13"/>
  <c r="Q901" i="13" l="1"/>
  <c r="R901" i="13"/>
  <c r="Q902" i="13" l="1"/>
  <c r="R902" i="13"/>
  <c r="Q903" i="13" l="1"/>
  <c r="R903" i="13"/>
  <c r="R904" i="13" l="1"/>
  <c r="Q904" i="13"/>
  <c r="Q905" i="13" l="1"/>
  <c r="R905" i="13"/>
  <c r="Q906" i="13" l="1"/>
  <c r="R906" i="13"/>
  <c r="Q907" i="13" l="1"/>
  <c r="R907" i="13"/>
  <c r="R908" i="13" l="1"/>
  <c r="Q908" i="13"/>
  <c r="Q909" i="13" l="1"/>
  <c r="R909" i="13"/>
  <c r="Q910" i="13" l="1"/>
  <c r="R910" i="13"/>
  <c r="Q911" i="13" l="1"/>
  <c r="R911" i="13"/>
  <c r="R912" i="13" l="1"/>
  <c r="Q912" i="13"/>
  <c r="Q913" i="13" l="1"/>
  <c r="R913" i="13"/>
  <c r="Q914" i="13" l="1"/>
  <c r="R914" i="13"/>
  <c r="Q915" i="13" l="1"/>
  <c r="R915" i="13"/>
  <c r="R916" i="13" l="1"/>
  <c r="Q916" i="13"/>
  <c r="Q917" i="13" l="1"/>
  <c r="R917" i="13"/>
  <c r="Q918" i="13" l="1"/>
  <c r="R918" i="13"/>
  <c r="Q919" i="13" l="1"/>
  <c r="R919" i="13"/>
  <c r="R920" i="13" l="1"/>
  <c r="Q920" i="13"/>
  <c r="Q921" i="13" l="1"/>
  <c r="R921" i="13"/>
  <c r="Q922" i="13" l="1"/>
  <c r="R922" i="13"/>
  <c r="Q923" i="13" l="1"/>
  <c r="R923" i="13"/>
  <c r="R924" i="13" l="1"/>
  <c r="Q924" i="13"/>
  <c r="Q925" i="13" l="1"/>
  <c r="R925" i="13"/>
  <c r="R926" i="13" l="1"/>
  <c r="Q926" i="13"/>
  <c r="Q927" i="13" l="1"/>
  <c r="R927" i="13"/>
  <c r="R928" i="13" l="1"/>
  <c r="Q928" i="13"/>
  <c r="Q929" i="13" l="1"/>
  <c r="R929" i="13"/>
  <c r="Q930" i="13" l="1"/>
  <c r="R930" i="13"/>
  <c r="Q931" i="13" l="1"/>
  <c r="R931" i="13"/>
  <c r="R932" i="13" l="1"/>
  <c r="Q932" i="13"/>
  <c r="Q933" i="13" l="1"/>
  <c r="R933" i="13"/>
  <c r="Q934" i="13" l="1"/>
  <c r="R934" i="13"/>
  <c r="Q935" i="13" l="1"/>
  <c r="R935" i="13"/>
  <c r="R936" i="13" l="1"/>
  <c r="Q936" i="13"/>
  <c r="Q937" i="13" l="1"/>
  <c r="R937" i="13"/>
  <c r="Q938" i="13" l="1"/>
  <c r="R938" i="13"/>
  <c r="Q939" i="13" l="1"/>
  <c r="R939" i="13"/>
  <c r="R940" i="13" l="1"/>
  <c r="Q940" i="13"/>
  <c r="Q941" i="13" l="1"/>
  <c r="R941" i="13"/>
  <c r="Q942" i="13" l="1"/>
  <c r="R942" i="13"/>
  <c r="Q943" i="13" l="1"/>
  <c r="R943" i="13"/>
  <c r="R944" i="13" l="1"/>
  <c r="Q944" i="13"/>
  <c r="Q945" i="13" l="1"/>
  <c r="R945" i="13"/>
  <c r="Q946" i="13" l="1"/>
  <c r="R946" i="13"/>
  <c r="Q947" i="13" l="1"/>
  <c r="R947" i="13"/>
  <c r="R948" i="13" l="1"/>
  <c r="Q948" i="13"/>
  <c r="Q949" i="13" l="1"/>
  <c r="R949" i="13"/>
  <c r="Q950" i="13" l="1"/>
  <c r="R950" i="13"/>
  <c r="Q951" i="13" l="1"/>
  <c r="R951" i="13"/>
  <c r="R952" i="13" l="1"/>
  <c r="Q952" i="13"/>
  <c r="Q953" i="13" l="1"/>
  <c r="R953" i="13"/>
  <c r="Q954" i="13" l="1"/>
  <c r="R954" i="13"/>
  <c r="Q955" i="13" l="1"/>
  <c r="R955" i="13"/>
  <c r="R956" i="13" l="1"/>
  <c r="Q956" i="13"/>
  <c r="Q957" i="13" l="1"/>
  <c r="R957" i="13"/>
  <c r="R958" i="13" l="1"/>
  <c r="Q958" i="13"/>
  <c r="Q959" i="13" l="1"/>
  <c r="R959" i="13"/>
  <c r="R960" i="13" l="1"/>
  <c r="Q960" i="13"/>
  <c r="Q961" i="13" l="1"/>
  <c r="R961" i="13"/>
  <c r="Q962" i="13" l="1"/>
  <c r="R962" i="13"/>
  <c r="Q963" i="13" l="1"/>
  <c r="R963" i="13"/>
  <c r="R964" i="13" l="1"/>
  <c r="Q964" i="13"/>
  <c r="Q965" i="13" l="1"/>
  <c r="R965" i="13"/>
  <c r="R966" i="13" l="1"/>
  <c r="Q966" i="13"/>
  <c r="Q967" i="13" l="1"/>
  <c r="R967" i="13"/>
  <c r="R968" i="13" l="1"/>
  <c r="Q968" i="13"/>
  <c r="Q969" i="13" l="1"/>
  <c r="R969" i="13"/>
  <c r="Q970" i="13" l="1"/>
  <c r="R970" i="13"/>
  <c r="Q971" i="13" l="1"/>
  <c r="R971" i="13"/>
  <c r="R972" i="13" l="1"/>
  <c r="Q972" i="13"/>
  <c r="Q973" i="13" l="1"/>
  <c r="R973" i="13"/>
  <c r="R974" i="13" l="1"/>
  <c r="Q974" i="13"/>
  <c r="Q975" i="13" l="1"/>
  <c r="R975" i="13"/>
  <c r="R976" i="13" l="1"/>
  <c r="Q976" i="13"/>
  <c r="Q977" i="13" l="1"/>
  <c r="R977" i="13"/>
  <c r="Q978" i="13" l="1"/>
  <c r="R978" i="13"/>
  <c r="R979" i="13" l="1"/>
  <c r="Q979" i="13"/>
  <c r="R980" i="13" l="1"/>
  <c r="Q980" i="13"/>
  <c r="Q981" i="13" l="1"/>
  <c r="R981" i="13"/>
  <c r="Q982" i="13" l="1"/>
  <c r="R982" i="13"/>
  <c r="Q983" i="13" l="1"/>
  <c r="R983" i="13"/>
  <c r="R984" i="13" l="1"/>
  <c r="Q984" i="13"/>
  <c r="Q985" i="13" l="1"/>
  <c r="R985" i="13"/>
  <c r="Q986" i="13" l="1"/>
  <c r="R986" i="13"/>
  <c r="Q987" i="13" l="1"/>
  <c r="R987" i="13"/>
  <c r="R988" i="13" l="1"/>
  <c r="Q988" i="13"/>
  <c r="Q989" i="13" l="1"/>
  <c r="R989" i="13"/>
  <c r="R990" i="13" l="1"/>
  <c r="Q990" i="13"/>
  <c r="Q991" i="13" l="1"/>
  <c r="R991" i="13"/>
  <c r="R992" i="13" l="1"/>
  <c r="Q992" i="13"/>
  <c r="Q993" i="13" l="1"/>
  <c r="R993" i="13"/>
  <c r="Q994" i="13" l="1"/>
  <c r="R994" i="13"/>
  <c r="Q995" i="13" l="1"/>
  <c r="R995" i="13"/>
  <c r="R996" i="13" l="1"/>
  <c r="Q996" i="13"/>
  <c r="Q997" i="13" l="1"/>
  <c r="R997" i="13"/>
  <c r="R998" i="13" l="1"/>
  <c r="Q998" i="13"/>
  <c r="Q999" i="13" l="1"/>
  <c r="R999" i="13"/>
  <c r="R1000" i="13" l="1"/>
  <c r="Q1000" i="13"/>
  <c r="Q1001" i="13" l="1"/>
  <c r="R1001" i="13"/>
  <c r="Q1002" i="13" l="1"/>
  <c r="R1002" i="13"/>
  <c r="R1003" i="13" l="1"/>
  <c r="Q1003" i="13"/>
  <c r="Q1004" i="13" l="1"/>
  <c r="R1004" i="13"/>
  <c r="R1005" i="13" l="1"/>
  <c r="Q1005" i="13"/>
  <c r="Q1006" i="13" l="1"/>
  <c r="R1006" i="13"/>
  <c r="Q1007" i="13" l="1"/>
  <c r="R1007" i="13"/>
  <c r="R1008" i="13" l="1"/>
  <c r="Q1008" i="13"/>
  <c r="R1009" i="13" l="1"/>
  <c r="Q1009" i="13"/>
  <c r="R1010" i="13" l="1"/>
  <c r="Q1010" i="13"/>
  <c r="Q1011" i="13" l="1"/>
  <c r="R1011" i="13"/>
  <c r="R1012" i="13" l="1"/>
  <c r="Q1012" i="13"/>
  <c r="Q1013" i="13" l="1"/>
  <c r="R1013" i="13"/>
  <c r="Q1014" i="13" l="1"/>
  <c r="R1014" i="13"/>
  <c r="R1015" i="13" l="1"/>
  <c r="Q1015" i="13"/>
  <c r="Q1016" i="13" l="1"/>
  <c r="R1016" i="13"/>
  <c r="R1017" i="13" l="1"/>
  <c r="Q1017" i="13"/>
  <c r="R1018" i="13" l="1"/>
  <c r="Q1018" i="13"/>
  <c r="R1019" i="13" l="1"/>
  <c r="Q1019" i="13"/>
  <c r="Q1020" i="13" l="1"/>
  <c r="R1020" i="13"/>
  <c r="R1021" i="13" l="1"/>
  <c r="Q1021" i="13"/>
  <c r="Q1022" i="13" l="1"/>
  <c r="R1022" i="13"/>
  <c r="Q1023" i="13" l="1"/>
  <c r="R1023" i="13"/>
  <c r="Q1024" i="13" l="1"/>
  <c r="R1024" i="13"/>
  <c r="R1025" i="13" l="1"/>
  <c r="Q1025" i="13"/>
  <c r="R1026" i="13" l="1"/>
  <c r="Q1026" i="13"/>
  <c r="R1027" i="13" l="1"/>
  <c r="Q1027" i="13"/>
  <c r="Q1028" i="13" l="1"/>
  <c r="R1028" i="13"/>
  <c r="R1029" i="13" l="1"/>
  <c r="Q1029" i="13"/>
  <c r="R1030" i="13" l="1"/>
  <c r="Q1030" i="13"/>
  <c r="R1031" i="13" l="1"/>
  <c r="Q1031" i="13"/>
  <c r="Q1032" i="13" l="1"/>
  <c r="R1032" i="13"/>
  <c r="R1033" i="13" l="1"/>
  <c r="Q1033" i="13"/>
  <c r="Q1034" i="13" l="1"/>
  <c r="R1034" i="13"/>
  <c r="Q1035" i="13" l="1"/>
  <c r="R1035" i="13"/>
  <c r="R1036" i="13" l="1"/>
  <c r="Q1036" i="13"/>
  <c r="R1037" i="13" l="1"/>
  <c r="Q1037" i="13"/>
  <c r="R1038" i="13" l="1"/>
  <c r="Q1038" i="13"/>
  <c r="Q1039" i="13" l="1"/>
  <c r="R1039" i="13"/>
  <c r="R1040" i="13" l="1"/>
  <c r="Q1040" i="13"/>
  <c r="Q1041" i="13" l="1"/>
  <c r="R1041" i="13"/>
  <c r="Q1042" i="13" l="1"/>
  <c r="R1042" i="13"/>
  <c r="Q1043" i="13" l="1"/>
  <c r="R1043" i="13"/>
  <c r="R1044" i="13" l="1"/>
  <c r="Q1044" i="13"/>
  <c r="Q1045" i="13" l="1"/>
  <c r="R1045" i="13"/>
  <c r="R1046" i="13" l="1"/>
  <c r="Q1046" i="13"/>
  <c r="Q1047" i="13" l="1"/>
  <c r="R1047" i="13"/>
  <c r="R1048" i="13" l="1"/>
  <c r="Q1048" i="13"/>
  <c r="Q1049" i="13" l="1"/>
  <c r="R1049" i="13"/>
  <c r="Q1050" i="13" l="1"/>
  <c r="R1050" i="13"/>
  <c r="Q1051" i="13" l="1"/>
  <c r="R1051" i="13"/>
  <c r="R1052" i="13" l="1"/>
  <c r="Q1052" i="13"/>
  <c r="Q1053" i="13" l="1"/>
  <c r="R1053" i="13"/>
  <c r="R1054" i="13" l="1"/>
  <c r="Q1054" i="13"/>
  <c r="Q1055" i="13" l="1"/>
  <c r="R1055" i="13"/>
  <c r="R1056" i="13" l="1"/>
  <c r="Q1056" i="13"/>
  <c r="Q1057" i="13" l="1"/>
  <c r="R1057" i="13"/>
  <c r="Q1058" i="13" l="1"/>
  <c r="R1058" i="13"/>
  <c r="Q1059" i="13" l="1"/>
  <c r="R1059" i="13"/>
  <c r="R1060" i="13" l="1"/>
  <c r="Q1060" i="13"/>
  <c r="Q1061" i="13" l="1"/>
  <c r="R1061" i="13"/>
  <c r="R1062" i="13" l="1"/>
  <c r="Q1062" i="13"/>
  <c r="Q1063" i="13" l="1"/>
  <c r="R1063" i="13"/>
  <c r="R1064" i="13" l="1"/>
  <c r="Q1064" i="13"/>
  <c r="Q1065" i="13" l="1"/>
  <c r="R1065" i="13"/>
  <c r="Q1066" i="13" l="1"/>
  <c r="R1066" i="13"/>
  <c r="Q1067" i="13" l="1"/>
  <c r="R1067" i="13"/>
  <c r="R1068" i="13" l="1"/>
  <c r="Q1068" i="13"/>
  <c r="Q1069" i="13" l="1"/>
  <c r="R1069" i="13"/>
  <c r="R1070" i="13" l="1"/>
  <c r="Q1070" i="13"/>
  <c r="Q1071" i="13" l="1"/>
  <c r="R1071" i="13"/>
  <c r="R1072" i="13" l="1"/>
  <c r="Q1072" i="13"/>
  <c r="Q1073" i="13" l="1"/>
  <c r="R1073" i="13"/>
  <c r="Q1074" i="13" l="1"/>
  <c r="R1074" i="13"/>
  <c r="Q1075" i="13" l="1"/>
  <c r="R1075" i="13"/>
  <c r="R1076" i="13" l="1"/>
  <c r="Q1076" i="13"/>
  <c r="Q1077" i="13" l="1"/>
  <c r="R1077" i="13"/>
  <c r="R1078" i="13" l="1"/>
  <c r="Q1078" i="13"/>
  <c r="Q1079" i="13" l="1"/>
  <c r="R1079" i="13"/>
  <c r="R1080" i="13" l="1"/>
  <c r="Q1080" i="13"/>
  <c r="Q1081" i="13" l="1"/>
  <c r="R1081" i="13"/>
  <c r="Q1082" i="13" l="1"/>
  <c r="R1082" i="13"/>
  <c r="R1083" i="13" l="1"/>
  <c r="Q1083" i="13"/>
  <c r="R1084" i="13" l="1"/>
  <c r="Q1084" i="13"/>
  <c r="Q1085" i="13" l="1"/>
  <c r="R1085" i="13"/>
  <c r="R1086" i="13" l="1"/>
  <c r="Q1086" i="13"/>
  <c r="Q1087" i="13" l="1"/>
  <c r="R1087" i="13"/>
  <c r="Q1088" i="13" l="1"/>
  <c r="R1088" i="13"/>
  <c r="Q1089" i="13" l="1"/>
  <c r="R1089" i="13"/>
  <c r="R1090" i="13" l="1"/>
  <c r="Q1090" i="13"/>
  <c r="R1091" i="13" l="1"/>
  <c r="Q1091" i="13"/>
  <c r="Q1092" i="13" l="1"/>
  <c r="R1092" i="13"/>
  <c r="Q1093" i="13" l="1"/>
  <c r="R1093" i="13"/>
  <c r="R1094" i="13" l="1"/>
  <c r="Q1094" i="13"/>
  <c r="R1095" i="13" l="1"/>
  <c r="Q1095" i="13"/>
  <c r="R1096" i="13" l="1"/>
  <c r="Q1096" i="13"/>
  <c r="Q1097" i="13" l="1"/>
  <c r="R1097" i="13"/>
  <c r="R1098" i="13" l="1"/>
  <c r="Q1098" i="13"/>
  <c r="Q1099" i="13" l="1"/>
  <c r="R1099" i="13"/>
  <c r="R1100" i="13" l="1"/>
  <c r="Q1100" i="13"/>
  <c r="Q1101" i="13" l="1"/>
  <c r="R1101" i="13"/>
  <c r="R1102" i="13" l="1"/>
  <c r="Q1102" i="13"/>
  <c r="Q1103" i="13" l="1"/>
  <c r="R1103" i="13"/>
  <c r="R1104" i="13" l="1"/>
  <c r="Q1104" i="13"/>
  <c r="Q1105" i="13" l="1"/>
  <c r="R1105" i="13"/>
  <c r="R1106" i="13" l="1"/>
  <c r="Q1106" i="13"/>
  <c r="Q1107" i="13" l="1"/>
  <c r="R1107" i="13"/>
  <c r="R1108" i="13" l="1"/>
  <c r="Q1108" i="13"/>
  <c r="Q1109" i="13" l="1"/>
  <c r="R1109" i="13"/>
  <c r="R1110" i="13" l="1"/>
  <c r="Q1110" i="13"/>
  <c r="Q1111" i="13" l="1"/>
  <c r="R1111" i="13"/>
  <c r="Q1112" i="13" l="1"/>
  <c r="R1112" i="13"/>
  <c r="Q1113" i="13" l="1"/>
  <c r="R1113" i="13"/>
  <c r="R1114" i="13" l="1"/>
  <c r="Q1114" i="13"/>
  <c r="Q1115" i="13" l="1"/>
  <c r="R1115" i="13"/>
</calcChain>
</file>

<file path=xl/comments1.xml><?xml version="1.0" encoding="utf-8"?>
<comments xmlns="http://schemas.openxmlformats.org/spreadsheetml/2006/main">
  <authors>
    <author>Mayer, Veronika (LTZ)</author>
    <author>Krieg, Karl (LEL)</author>
  </authors>
  <commentList>
    <comment ref="I9" authorId="0">
      <text>
        <r>
          <rPr>
            <b/>
            <sz val="9"/>
            <color indexed="81"/>
            <rFont val="Tahoma"/>
            <family val="2"/>
          </rPr>
          <t>Mayer, Veronika (LTZ):</t>
        </r>
        <r>
          <rPr>
            <sz val="9"/>
            <color indexed="81"/>
            <rFont val="Tahoma"/>
            <family val="2"/>
          </rPr>
          <t xml:space="preserve">
Gesamtpflanze</t>
        </r>
      </text>
    </comment>
    <comment ref="Y9" authorId="0">
      <text>
        <r>
          <rPr>
            <b/>
            <sz val="9"/>
            <color indexed="81"/>
            <rFont val="Tahoma"/>
            <family val="2"/>
          </rPr>
          <t>Mayer, Veronika (LTZ):</t>
        </r>
        <r>
          <rPr>
            <sz val="9"/>
            <color indexed="81"/>
            <rFont val="Tahoma"/>
            <family val="2"/>
          </rPr>
          <t xml:space="preserve">
NEU, in Fachkonzept nicht variabel beschrieben</t>
        </r>
      </text>
    </comment>
    <comment ref="AF9" authorId="0">
      <text>
        <r>
          <rPr>
            <b/>
            <sz val="9"/>
            <color indexed="81"/>
            <rFont val="Tahoma"/>
            <family val="2"/>
          </rPr>
          <t>Mayer, Veronika (LTZ):</t>
        </r>
        <r>
          <rPr>
            <sz val="9"/>
            <color indexed="81"/>
            <rFont val="Tahoma"/>
            <family val="2"/>
          </rPr>
          <t xml:space="preserve">
bei Mineralboden</t>
        </r>
      </text>
    </comment>
    <comment ref="AJ9" authorId="0">
      <text>
        <r>
          <rPr>
            <b/>
            <sz val="9"/>
            <color indexed="81"/>
            <rFont val="Tahoma"/>
            <family val="2"/>
          </rPr>
          <t xml:space="preserve">Ergänzungen (Obst/Reben/Erdbeeren/Hopfen) aufgrund EXCEL-Rechengänge
</t>
        </r>
        <r>
          <rPr>
            <sz val="9"/>
            <color indexed="81"/>
            <rFont val="Tahoma"/>
            <family val="2"/>
          </rPr>
          <t xml:space="preserve">
</t>
        </r>
      </text>
    </comment>
    <comment ref="U88" authorId="1">
      <text>
        <r>
          <rPr>
            <b/>
            <sz val="8"/>
            <color indexed="81"/>
            <rFont val="Tahoma"/>
            <family val="2"/>
          </rPr>
          <t>20% vom Tab.Ertrag</t>
        </r>
        <r>
          <rPr>
            <sz val="8"/>
            <color indexed="81"/>
            <rFont val="Tahoma"/>
            <family val="2"/>
          </rPr>
          <t xml:space="preserve">
</t>
        </r>
      </text>
    </comment>
    <comment ref="U89" authorId="1">
      <text>
        <r>
          <rPr>
            <b/>
            <sz val="8"/>
            <color indexed="81"/>
            <rFont val="Tahoma"/>
            <family val="2"/>
          </rPr>
          <t>20% vom Tab.Ertrag</t>
        </r>
        <r>
          <rPr>
            <sz val="8"/>
            <color indexed="81"/>
            <rFont val="Tahoma"/>
            <family val="2"/>
          </rPr>
          <t xml:space="preserve">
</t>
        </r>
      </text>
    </comment>
  </commentList>
</comments>
</file>

<file path=xl/comments2.xml><?xml version="1.0" encoding="utf-8"?>
<comments xmlns="http://schemas.openxmlformats.org/spreadsheetml/2006/main">
  <authors>
    <author>Mayer, Veronika (LTZ)</author>
  </authors>
  <commentList>
    <comment ref="D91" authorId="0">
      <text>
        <r>
          <rPr>
            <b/>
            <sz val="9"/>
            <color indexed="81"/>
            <rFont val="Tahoma"/>
            <family val="2"/>
          </rPr>
          <t>Entzug/Abfuhr Grundnährstoffe laut Daten Fr. Dr. Rather (31/05/17)</t>
        </r>
      </text>
    </comment>
    <comment ref="D92" authorId="0">
      <text>
        <r>
          <rPr>
            <b/>
            <sz val="9"/>
            <color indexed="81"/>
            <rFont val="Tahoma"/>
            <family val="2"/>
          </rPr>
          <t>Entzug/Abfuhr Grundnährstoffe laut Daten Fr. Dr. Rather (31/05/17)</t>
        </r>
      </text>
    </comment>
  </commentList>
</comments>
</file>

<file path=xl/comments3.xml><?xml version="1.0" encoding="utf-8"?>
<comments xmlns="http://schemas.openxmlformats.org/spreadsheetml/2006/main">
  <authors>
    <author>Mayer, Veronika (LTZ)</author>
    <author>Krieg, Karl (LEL)</author>
  </authors>
  <commentList>
    <comment ref="I10" authorId="0">
      <text>
        <r>
          <rPr>
            <b/>
            <sz val="9"/>
            <color indexed="81"/>
            <rFont val="Tahoma"/>
            <family val="2"/>
          </rPr>
          <t>Mayer, Veronika (LTZ):</t>
        </r>
        <r>
          <rPr>
            <sz val="9"/>
            <color indexed="81"/>
            <rFont val="Tahoma"/>
            <family val="2"/>
          </rPr>
          <t xml:space="preserve">
entspricht N nach Stall-
und Lagerverlusten</t>
        </r>
      </text>
    </comment>
    <comment ref="J10" authorId="1">
      <text>
        <r>
          <rPr>
            <sz val="8"/>
            <color indexed="81"/>
            <rFont val="Tahoma"/>
            <family val="2"/>
          </rPr>
          <t xml:space="preserve">wird momentan nicht verrechnet
</t>
        </r>
      </text>
    </comment>
    <comment ref="N10" authorId="1">
      <text>
        <r>
          <rPr>
            <sz val="8"/>
            <color indexed="81"/>
            <rFont val="Tahoma"/>
            <family val="2"/>
          </rPr>
          <t xml:space="preserve">wird momentan nicht verrechnet
</t>
        </r>
      </text>
    </comment>
  </commentList>
</comments>
</file>

<file path=xl/comments4.xml><?xml version="1.0" encoding="utf-8"?>
<comments xmlns="http://schemas.openxmlformats.org/spreadsheetml/2006/main">
  <authors>
    <author>Heckelmann, Anja (LTZ-Fo)</author>
  </authors>
  <commentList>
    <comment ref="C17" authorId="0">
      <text>
        <r>
          <rPr>
            <b/>
            <sz val="9"/>
            <color indexed="81"/>
            <rFont val="Tahoma"/>
            <family val="2"/>
          </rPr>
          <t>Heckelmann, Anja (LTZ-Fo):</t>
        </r>
        <r>
          <rPr>
            <sz val="9"/>
            <color indexed="81"/>
            <rFont val="Tahoma"/>
            <family val="2"/>
          </rPr>
          <t xml:space="preserve">
egal bei welchem Humusgehalt/Moor/Niedermoor immer Abschlag 0</t>
        </r>
      </text>
    </comment>
  </commentList>
</comments>
</file>

<file path=xl/comments5.xml><?xml version="1.0" encoding="utf-8"?>
<comments xmlns="http://schemas.openxmlformats.org/spreadsheetml/2006/main">
  <authors>
    <author>KriegK</author>
  </authors>
  <commentList>
    <comment ref="F255" authorId="0">
      <text>
        <r>
          <rPr>
            <sz val="8"/>
            <color indexed="81"/>
            <rFont val="Tahoma"/>
            <family val="2"/>
          </rPr>
          <t xml:space="preserve">lt. Seite 8, VDLUFA-St.
</t>
        </r>
      </text>
    </comment>
  </commentList>
</comments>
</file>

<file path=xl/comments6.xml><?xml version="1.0" encoding="utf-8"?>
<comments xmlns="http://schemas.openxmlformats.org/spreadsheetml/2006/main">
  <authors>
    <author>Mayer, Veronika (LTZ)</author>
  </authors>
  <commentList>
    <comment ref="H11" authorId="0">
      <text>
        <r>
          <rPr>
            <b/>
            <sz val="9"/>
            <color indexed="81"/>
            <rFont val="Tahoma"/>
            <family val="2"/>
          </rPr>
          <t>Mayer, Veronika (LTZ):</t>
        </r>
        <r>
          <rPr>
            <sz val="9"/>
            <color indexed="81"/>
            <rFont val="Tahoma"/>
            <family val="2"/>
          </rPr>
          <t xml:space="preserve">
ID siehe Untertabellen &gt;&gt;&gt; Kommentare (Düngung BW)</t>
        </r>
      </text>
    </comment>
    <comment ref="H125" authorId="0">
      <text>
        <r>
          <rPr>
            <b/>
            <sz val="9"/>
            <color indexed="81"/>
            <rFont val="Tahoma"/>
            <family val="2"/>
          </rPr>
          <t>ID 87 für Erdbeeren</t>
        </r>
      </text>
    </comment>
  </commentList>
</comments>
</file>

<file path=xl/sharedStrings.xml><?xml version="1.0" encoding="utf-8"?>
<sst xmlns="http://schemas.openxmlformats.org/spreadsheetml/2006/main" count="13015" uniqueCount="4915">
  <si>
    <t>Düngung BW</t>
  </si>
  <si>
    <t>Erfassungsdatum:</t>
  </si>
  <si>
    <t>&gt;&gt;&gt; gelbe Felder sind Eingabefelder</t>
  </si>
  <si>
    <t>Nach-/Vorname</t>
  </si>
  <si>
    <t>Adresse</t>
  </si>
  <si>
    <t>Betriebs-Nr.</t>
  </si>
  <si>
    <t>Dienstbezirk</t>
  </si>
  <si>
    <t>Schlagname/-Nr.</t>
  </si>
  <si>
    <t>Vergleichsgebiet</t>
  </si>
  <si>
    <t>Flurstücks-Nr.</t>
  </si>
  <si>
    <t>Gemarkung</t>
  </si>
  <si>
    <t>Schlaggröße [ha]</t>
  </si>
  <si>
    <t>Kultur</t>
  </si>
  <si>
    <t>Hauptfrucht</t>
  </si>
  <si>
    <r>
      <t xml:space="preserve">&lt;Liste </t>
    </r>
    <r>
      <rPr>
        <i/>
        <sz val="11"/>
        <color rgb="FFFF0000"/>
        <rFont val="Arial"/>
        <family val="2"/>
      </rPr>
      <t>hauptfrucht</t>
    </r>
    <r>
      <rPr>
        <i/>
        <sz val="11"/>
        <color theme="1"/>
        <rFont val="Arial"/>
        <family val="2"/>
      </rPr>
      <t>&gt;</t>
    </r>
  </si>
  <si>
    <t>Planjahr</t>
  </si>
  <si>
    <t>vor 2 Jahren</t>
  </si>
  <si>
    <t xml:space="preserve">vor 3 Jahren </t>
  </si>
  <si>
    <t>vor 4 Jahren</t>
  </si>
  <si>
    <t>Ertrag [dt/ha]</t>
  </si>
  <si>
    <t>Ackerzahl</t>
  </si>
  <si>
    <t>Humusgehalt</t>
  </si>
  <si>
    <t>pH-Wert</t>
  </si>
  <si>
    <r>
      <t>P</t>
    </r>
    <r>
      <rPr>
        <sz val="8"/>
        <color theme="1"/>
        <rFont val="Arial"/>
        <family val="2"/>
      </rPr>
      <t>2</t>
    </r>
    <r>
      <rPr>
        <sz val="11"/>
        <color theme="1"/>
        <rFont val="Arial"/>
        <family val="2"/>
      </rPr>
      <t>O</t>
    </r>
    <r>
      <rPr>
        <sz val="8"/>
        <color theme="1"/>
        <rFont val="Arial"/>
        <family val="2"/>
      </rPr>
      <t>5</t>
    </r>
  </si>
  <si>
    <r>
      <t>K</t>
    </r>
    <r>
      <rPr>
        <sz val="8"/>
        <color theme="1"/>
        <rFont val="Arial"/>
        <family val="2"/>
      </rPr>
      <t>2</t>
    </r>
    <r>
      <rPr>
        <sz val="11"/>
        <color theme="1"/>
        <rFont val="Arial"/>
        <family val="2"/>
      </rPr>
      <t>O</t>
    </r>
  </si>
  <si>
    <t>MgO</t>
  </si>
  <si>
    <t>Düngerart</t>
  </si>
  <si>
    <t>Eigenanalysewert [kg N/m³]</t>
  </si>
  <si>
    <t>Stickstoff</t>
  </si>
  <si>
    <t>Obergrenze</t>
  </si>
  <si>
    <t>[kg N/ha]</t>
  </si>
  <si>
    <t xml:space="preserve">3-jähriger Ertragsdurchschnitt [dt/ha] </t>
  </si>
  <si>
    <t>3-jähriges Rohproteinmittel [% RP i. d. TM]</t>
  </si>
  <si>
    <t>N-Obergrenze (DüV)</t>
  </si>
  <si>
    <t>Phosphat, Kali, Magnesiumoxid</t>
  </si>
  <si>
    <r>
      <t>P</t>
    </r>
    <r>
      <rPr>
        <vertAlign val="subscript"/>
        <sz val="11"/>
        <color theme="1"/>
        <rFont val="Arial"/>
        <family val="2"/>
      </rPr>
      <t>2</t>
    </r>
    <r>
      <rPr>
        <sz val="11"/>
        <color theme="1"/>
        <rFont val="Arial"/>
        <family val="2"/>
      </rPr>
      <t>O</t>
    </r>
    <r>
      <rPr>
        <vertAlign val="subscript"/>
        <sz val="11"/>
        <color theme="1"/>
        <rFont val="Arial"/>
        <family val="2"/>
      </rPr>
      <t>5</t>
    </r>
  </si>
  <si>
    <r>
      <t>K</t>
    </r>
    <r>
      <rPr>
        <vertAlign val="subscript"/>
        <sz val="11"/>
        <color theme="1"/>
        <rFont val="Arial"/>
        <family val="2"/>
      </rPr>
      <t>2</t>
    </r>
    <r>
      <rPr>
        <sz val="11"/>
        <color theme="1"/>
        <rFont val="Arial"/>
        <family val="2"/>
      </rPr>
      <t>O</t>
    </r>
  </si>
  <si>
    <t>[kg/ha]</t>
  </si>
  <si>
    <t>Kalk</t>
  </si>
  <si>
    <t>Bodenart, -schwere</t>
  </si>
  <si>
    <t>Humusgehalt  [%]</t>
  </si>
  <si>
    <t>pH-Wert, -Klasse</t>
  </si>
  <si>
    <t>Düngeempfehlung für Kalk [dt/ha]</t>
  </si>
  <si>
    <t>max. Menge CaO je Einzelgabe [dt/ha u. Jahr]</t>
  </si>
  <si>
    <t>Düngebedarfsberechnung</t>
  </si>
  <si>
    <t>Berechnung für:</t>
  </si>
  <si>
    <t>Ellwangen</t>
  </si>
  <si>
    <t>Waldstetten</t>
  </si>
  <si>
    <t>ID</t>
  </si>
  <si>
    <t>DATENLISTE</t>
  </si>
  <si>
    <t>Programmierhinweis:</t>
  </si>
  <si>
    <t>Gemeinde</t>
  </si>
  <si>
    <t>Gemarkungs-Nr</t>
  </si>
  <si>
    <t>Gemeinde-Nr</t>
  </si>
  <si>
    <t>Landkreis_Nr</t>
  </si>
  <si>
    <t>Landkreis_Kennziffer</t>
  </si>
  <si>
    <t>Obergröningen</t>
  </si>
  <si>
    <t>Pommertsweiler</t>
  </si>
  <si>
    <t>Abtsgmünd</t>
  </si>
  <si>
    <t>Untergröningen</t>
  </si>
  <si>
    <t>Gschwend</t>
  </si>
  <si>
    <t>Altersberg</t>
  </si>
  <si>
    <t>Frickenhofen</t>
  </si>
  <si>
    <t>Ruppertshofen</t>
  </si>
  <si>
    <t>Spraitbach</t>
  </si>
  <si>
    <t>Durlangen</t>
  </si>
  <si>
    <t>Täferrot</t>
  </si>
  <si>
    <t>Wasseralfingen</t>
  </si>
  <si>
    <t>Aalen</t>
  </si>
  <si>
    <t>Eschach</t>
  </si>
  <si>
    <t>Hohenstadt</t>
  </si>
  <si>
    <t>Schechingen</t>
  </si>
  <si>
    <t>Göggingen</t>
  </si>
  <si>
    <t>Leinzell</t>
  </si>
  <si>
    <t>Iggingen</t>
  </si>
  <si>
    <t>Hüttlingen</t>
  </si>
  <si>
    <t>Dewangen</t>
  </si>
  <si>
    <t>Fachsenfeld</t>
  </si>
  <si>
    <t>Unterkochen</t>
  </si>
  <si>
    <t>Stödtlen</t>
  </si>
  <si>
    <t>Mutlangen</t>
  </si>
  <si>
    <t>Ellwangen (Jagst)</t>
  </si>
  <si>
    <t>Tannhausen</t>
  </si>
  <si>
    <t>Unterschneidheim</t>
  </si>
  <si>
    <t>Geislingen</t>
  </si>
  <si>
    <t>Nordhausen</t>
  </si>
  <si>
    <t>Unterwilflingen</t>
  </si>
  <si>
    <t>Walxheim</t>
  </si>
  <si>
    <t>Zipplingen</t>
  </si>
  <si>
    <t>Zöbingen</t>
  </si>
  <si>
    <t>Wört</t>
  </si>
  <si>
    <t>Jagstzell</t>
  </si>
  <si>
    <t>Neubronn</t>
  </si>
  <si>
    <t>Ellenberg</t>
  </si>
  <si>
    <t>Laubach</t>
  </si>
  <si>
    <t>Pfahlheim</t>
  </si>
  <si>
    <t>Rindelbach</t>
  </si>
  <si>
    <t>Röhlingen</t>
  </si>
  <si>
    <t>Schrezheim</t>
  </si>
  <si>
    <t>Adelmannsfelden</t>
  </si>
  <si>
    <t>Neuler</t>
  </si>
  <si>
    <t>Dalkingen</t>
  </si>
  <si>
    <t>Rainau</t>
  </si>
  <si>
    <t>Schwabsberg</t>
  </si>
  <si>
    <t>Essingen</t>
  </si>
  <si>
    <t>Rosenberg</t>
  </si>
  <si>
    <t>Degenfeld</t>
  </si>
  <si>
    <t>Schwäbisch Gmünd</t>
  </si>
  <si>
    <t>Schweindorf</t>
  </si>
  <si>
    <t>Neresheim</t>
  </si>
  <si>
    <t>Oberkochen</t>
  </si>
  <si>
    <t>Heuchlingen</t>
  </si>
  <si>
    <t>Mögglingen</t>
  </si>
  <si>
    <t>Böbingen</t>
  </si>
  <si>
    <t>Böbingen an der Rems</t>
  </si>
  <si>
    <t>Heubach</t>
  </si>
  <si>
    <t>Lautern</t>
  </si>
  <si>
    <t>Bartholomä</t>
  </si>
  <si>
    <t>Waldhausen</t>
  </si>
  <si>
    <t>Bettringen</t>
  </si>
  <si>
    <t>Elchingen</t>
  </si>
  <si>
    <t>Großdeinbach</t>
  </si>
  <si>
    <t>Herlikofen</t>
  </si>
  <si>
    <t>Lindach</t>
  </si>
  <si>
    <t>Rechberg</t>
  </si>
  <si>
    <t>Straßdorf</t>
  </si>
  <si>
    <t>Weiler</t>
  </si>
  <si>
    <t>Wißgoldingen</t>
  </si>
  <si>
    <t>Lorch</t>
  </si>
  <si>
    <t>Waldhausen/Lorch</t>
  </si>
  <si>
    <t>Bargau</t>
  </si>
  <si>
    <t>Bopfingen</t>
  </si>
  <si>
    <t>Lauterburg</t>
  </si>
  <si>
    <t>Westhausen</t>
  </si>
  <si>
    <t>Lippach</t>
  </si>
  <si>
    <t>Lauchheim</t>
  </si>
  <si>
    <t>Hülen</t>
  </si>
  <si>
    <t>Röttingen</t>
  </si>
  <si>
    <t>Kirchheim</t>
  </si>
  <si>
    <t>Kirchheim am Ries</t>
  </si>
  <si>
    <t>Benzenzimmern</t>
  </si>
  <si>
    <t>Dirgenheim</t>
  </si>
  <si>
    <t>Goldburghausen</t>
  </si>
  <si>
    <t>Riesbürg</t>
  </si>
  <si>
    <t>Ohmenheim</t>
  </si>
  <si>
    <t>Utzmemmingen</t>
  </si>
  <si>
    <t>Kösingen</t>
  </si>
  <si>
    <t>Aufhausen</t>
  </si>
  <si>
    <t>Baldern</t>
  </si>
  <si>
    <t>Kerkingen</t>
  </si>
  <si>
    <t>Oberdorf</t>
  </si>
  <si>
    <t>Schloßberg</t>
  </si>
  <si>
    <t>Trochtelfingen</t>
  </si>
  <si>
    <t>Unterriffingen</t>
  </si>
  <si>
    <t>Dorfmerkingen</t>
  </si>
  <si>
    <t>Ebnat</t>
  </si>
  <si>
    <t>Pflaumloch</t>
  </si>
  <si>
    <t>Hofen</t>
  </si>
  <si>
    <t>Kleinheppach</t>
  </si>
  <si>
    <t>Korb</t>
  </si>
  <si>
    <t>Vordersteinenberg</t>
  </si>
  <si>
    <t>Alfdorf</t>
  </si>
  <si>
    <t>Pfahlbronn</t>
  </si>
  <si>
    <t>Vorderweißbuch</t>
  </si>
  <si>
    <t>Berglen</t>
  </si>
  <si>
    <t>Steinach</t>
  </si>
  <si>
    <t>Rettersburg</t>
  </si>
  <si>
    <t>Reichenbach</t>
  </si>
  <si>
    <t>Oppelsbohm</t>
  </si>
  <si>
    <t>Öschelbronn</t>
  </si>
  <si>
    <t>Ödernhardt</t>
  </si>
  <si>
    <t>Spiegelberg</t>
  </si>
  <si>
    <t>Bretzenacker</t>
  </si>
  <si>
    <t>Plüderhausen</t>
  </si>
  <si>
    <t>Neustadt</t>
  </si>
  <si>
    <t>Waiblingen</t>
  </si>
  <si>
    <t>Hohenacker</t>
  </si>
  <si>
    <t>Hegnach</t>
  </si>
  <si>
    <t>Bittenfeld</t>
  </si>
  <si>
    <t>Beinstein</t>
  </si>
  <si>
    <t>Schwaikheim</t>
  </si>
  <si>
    <t>Höfen</t>
  </si>
  <si>
    <t>Winnenden</t>
  </si>
  <si>
    <t>Hößlinswart</t>
  </si>
  <si>
    <t>Buoch</t>
  </si>
  <si>
    <t>Remshalden</t>
  </si>
  <si>
    <t>Fellbach</t>
  </si>
  <si>
    <t>Stetten</t>
  </si>
  <si>
    <t>Kernen im Remstal</t>
  </si>
  <si>
    <t>Rommelshausen</t>
  </si>
  <si>
    <t>Struempfelbach/Weinstadt</t>
  </si>
  <si>
    <t>Weinstadt</t>
  </si>
  <si>
    <t>Schnait</t>
  </si>
  <si>
    <t>Großheppach</t>
  </si>
  <si>
    <t>Endersbach</t>
  </si>
  <si>
    <t>Beutelsbach</t>
  </si>
  <si>
    <t>Rohrbronn</t>
  </si>
  <si>
    <t>Hebsack</t>
  </si>
  <si>
    <t>Oberurbach</t>
  </si>
  <si>
    <t>Urbach</t>
  </si>
  <si>
    <t>Geradstetten</t>
  </si>
  <si>
    <t>Unterurbach</t>
  </si>
  <si>
    <t>Winterbach</t>
  </si>
  <si>
    <t>Schorndorf</t>
  </si>
  <si>
    <t>Schornbach</t>
  </si>
  <si>
    <t>Schlichten</t>
  </si>
  <si>
    <t>Oberberken</t>
  </si>
  <si>
    <t>Miedelsbach</t>
  </si>
  <si>
    <t>Haubersbronn</t>
  </si>
  <si>
    <t>Buhlbronn</t>
  </si>
  <si>
    <t>Bürg</t>
  </si>
  <si>
    <t>Grunbach</t>
  </si>
  <si>
    <t>Großaspach</t>
  </si>
  <si>
    <t>Aspach</t>
  </si>
  <si>
    <t>Oberbrüden</t>
  </si>
  <si>
    <t>Auenwald</t>
  </si>
  <si>
    <t>Lippoldsweiler</t>
  </si>
  <si>
    <t>Ebersberg</t>
  </si>
  <si>
    <t>Waldrems</t>
  </si>
  <si>
    <t>Backnang</t>
  </si>
  <si>
    <t>Strümpfelbach</t>
  </si>
  <si>
    <t>Maubach</t>
  </si>
  <si>
    <t>Heiningen</t>
  </si>
  <si>
    <t>Kirchberg</t>
  </si>
  <si>
    <t>Kirchberg an der Murr</t>
  </si>
  <si>
    <t>Hertmannsweiler</t>
  </si>
  <si>
    <t>Kleinaspach</t>
  </si>
  <si>
    <t>Erbstetten</t>
  </si>
  <si>
    <t>Burgstetten</t>
  </si>
  <si>
    <t>Allmersbach/Aspach</t>
  </si>
  <si>
    <t>Oppenweiler</t>
  </si>
  <si>
    <t>Kirchenkirnberg</t>
  </si>
  <si>
    <t>Murrhardt</t>
  </si>
  <si>
    <t>Fornsbach</t>
  </si>
  <si>
    <t>Sulzbach</t>
  </si>
  <si>
    <t>Sulzbach an der Murr</t>
  </si>
  <si>
    <t>Grab</t>
  </si>
  <si>
    <t>Großerlach</t>
  </si>
  <si>
    <t>Nassach</t>
  </si>
  <si>
    <t>Jux</t>
  </si>
  <si>
    <t>Rietenau</t>
  </si>
  <si>
    <t>Welzheim</t>
  </si>
  <si>
    <t>Schmiden</t>
  </si>
  <si>
    <t>Breuningsweiler</t>
  </si>
  <si>
    <t>Birkmannsweiler</t>
  </si>
  <si>
    <t>Baach</t>
  </si>
  <si>
    <t>Weiler zum Stein</t>
  </si>
  <si>
    <t>Leutenbach</t>
  </si>
  <si>
    <t>Nellmersbach</t>
  </si>
  <si>
    <t>Steinenberg</t>
  </si>
  <si>
    <t>Rudersberg</t>
  </si>
  <si>
    <t>Schlechtbach</t>
  </si>
  <si>
    <t>Unterbrüden</t>
  </si>
  <si>
    <t>Burgstall</t>
  </si>
  <si>
    <t>Kaisersbach</t>
  </si>
  <si>
    <t>Heutensbach</t>
  </si>
  <si>
    <t>Allmersbach im Tal</t>
  </si>
  <si>
    <t>Allmersbach</t>
  </si>
  <si>
    <t>Sechselberg</t>
  </si>
  <si>
    <t>Althütte</t>
  </si>
  <si>
    <t>Unterweissach</t>
  </si>
  <si>
    <t>Weissach im Tal</t>
  </si>
  <si>
    <t>Oberweissach</t>
  </si>
  <si>
    <t>Cottenweiler</t>
  </si>
  <si>
    <t>Bruch</t>
  </si>
  <si>
    <t>Hanweiler</t>
  </si>
  <si>
    <t>Asperglen</t>
  </si>
  <si>
    <t>Oeffingen</t>
  </si>
  <si>
    <t>Dienstadt</t>
  </si>
  <si>
    <t>Tauberbischofsheim</t>
  </si>
  <si>
    <t>Edelfingen</t>
  </si>
  <si>
    <t>Bad Mergentheim</t>
  </si>
  <si>
    <t>Werbach</t>
  </si>
  <si>
    <t>Brunntal</t>
  </si>
  <si>
    <t>Gamburg</t>
  </si>
  <si>
    <t>Niklashausen</t>
  </si>
  <si>
    <t>Wenkheim</t>
  </si>
  <si>
    <t>Werbachhausen</t>
  </si>
  <si>
    <t>Großrinderfeld</t>
  </si>
  <si>
    <t>Gerchsheim</t>
  </si>
  <si>
    <t>Ilmspan</t>
  </si>
  <si>
    <t>Steinfurt</t>
  </si>
  <si>
    <t>Külsheim</t>
  </si>
  <si>
    <t>Steinbach</t>
  </si>
  <si>
    <t>Distelhausen</t>
  </si>
  <si>
    <t>Dittigheim</t>
  </si>
  <si>
    <t>Dittwar</t>
  </si>
  <si>
    <t>Hochhausen</t>
  </si>
  <si>
    <t>Impfingen</t>
  </si>
  <si>
    <t>Königheim</t>
  </si>
  <si>
    <t>Brehmen</t>
  </si>
  <si>
    <t>Gissigheim</t>
  </si>
  <si>
    <t>Pülfringen</t>
  </si>
  <si>
    <t>Schönfeld</t>
  </si>
  <si>
    <t>Lindelbach</t>
  </si>
  <si>
    <t>Wertheim</t>
  </si>
  <si>
    <t>Freudenberg</t>
  </si>
  <si>
    <t>Boxtal</t>
  </si>
  <si>
    <t>Ebenheid</t>
  </si>
  <si>
    <t>Wessental</t>
  </si>
  <si>
    <t>Hachtel</t>
  </si>
  <si>
    <t>Bettingen</t>
  </si>
  <si>
    <t>Dertingen</t>
  </si>
  <si>
    <t>Dietenhan</t>
  </si>
  <si>
    <t>Dörlesberg</t>
  </si>
  <si>
    <t>Grünenwört</t>
  </si>
  <si>
    <t>Uissigheim</t>
  </si>
  <si>
    <t>Kembach</t>
  </si>
  <si>
    <t>Krensheim</t>
  </si>
  <si>
    <t>Grünsfeld</t>
  </si>
  <si>
    <t>Mondfeld</t>
  </si>
  <si>
    <t>Nassig</t>
  </si>
  <si>
    <t>Reicholzheim</t>
  </si>
  <si>
    <t>Sachsenhausen</t>
  </si>
  <si>
    <t>Sonderriet</t>
  </si>
  <si>
    <t>Urphar</t>
  </si>
  <si>
    <t>Waldenhausen</t>
  </si>
  <si>
    <t>Eiersheim</t>
  </si>
  <si>
    <t>Hundheim</t>
  </si>
  <si>
    <t>Höhefeld</t>
  </si>
  <si>
    <t>Wölchingen</t>
  </si>
  <si>
    <t>Boxberg</t>
  </si>
  <si>
    <t>Angeltürn</t>
  </si>
  <si>
    <t>Bobstadt</t>
  </si>
  <si>
    <t>Epplingen</t>
  </si>
  <si>
    <t>Kupprichhausen</t>
  </si>
  <si>
    <t>Lengenrieden</t>
  </si>
  <si>
    <t>Oberschüpf</t>
  </si>
  <si>
    <t>Schwabhausen</t>
  </si>
  <si>
    <t>Schweigern</t>
  </si>
  <si>
    <t>Uiffingen</t>
  </si>
  <si>
    <t>Windischbuch</t>
  </si>
  <si>
    <t>Ahorn</t>
  </si>
  <si>
    <t>Igersheim</t>
  </si>
  <si>
    <t>Bernsfelden</t>
  </si>
  <si>
    <t>Harthausen</t>
  </si>
  <si>
    <t>Neuses</t>
  </si>
  <si>
    <t>Simmringen</t>
  </si>
  <si>
    <t>Mergentheim</t>
  </si>
  <si>
    <t>Althausen</t>
  </si>
  <si>
    <t>Apfelbach</t>
  </si>
  <si>
    <t>Dainbach</t>
  </si>
  <si>
    <t>Unterschüpf</t>
  </si>
  <si>
    <t>Lauda</t>
  </si>
  <si>
    <t>Lauda-Königshofen</t>
  </si>
  <si>
    <t>Kützbrunn</t>
  </si>
  <si>
    <t>Paimar</t>
  </si>
  <si>
    <t>Zimmern</t>
  </si>
  <si>
    <t>Oberwittighausen</t>
  </si>
  <si>
    <t>Wittighausen</t>
  </si>
  <si>
    <t>Poppenhausen</t>
  </si>
  <si>
    <t>Unterwittighausen</t>
  </si>
  <si>
    <t>Vilchband</t>
  </si>
  <si>
    <t>Beckstein</t>
  </si>
  <si>
    <t>Deubach</t>
  </si>
  <si>
    <t>Gerlachsheim</t>
  </si>
  <si>
    <t>Königshofen</t>
  </si>
  <si>
    <t>Schillingstadt</t>
  </si>
  <si>
    <t>Marbach</t>
  </si>
  <si>
    <t>Messelhausen</t>
  </si>
  <si>
    <t>Oberbalbach</t>
  </si>
  <si>
    <t>Oberlauda</t>
  </si>
  <si>
    <t>Sachsenflur</t>
  </si>
  <si>
    <t>Unterbalbach</t>
  </si>
  <si>
    <t>Berolzheim</t>
  </si>
  <si>
    <t>Buch</t>
  </si>
  <si>
    <t>Eubigheim</t>
  </si>
  <si>
    <t>Grünsfeldhausen</t>
  </si>
  <si>
    <t>Heckfeld</t>
  </si>
  <si>
    <t>Oberstetten</t>
  </si>
  <si>
    <t>Niederstetten</t>
  </si>
  <si>
    <t>Frauental</t>
  </si>
  <si>
    <t>Creglingen</t>
  </si>
  <si>
    <t>Freudenbach</t>
  </si>
  <si>
    <t>Münster</t>
  </si>
  <si>
    <t>Niederrimbach</t>
  </si>
  <si>
    <t>Herbsthausen</t>
  </si>
  <si>
    <t>Reinsbronn</t>
  </si>
  <si>
    <t>Waldmannshofen</t>
  </si>
  <si>
    <t>Finsterlohr</t>
  </si>
  <si>
    <t>Herrenzimmern</t>
  </si>
  <si>
    <t>Oberrimbach</t>
  </si>
  <si>
    <t>Pfitzingen</t>
  </si>
  <si>
    <t>Rinderfeld</t>
  </si>
  <si>
    <t>Rüsselhausen</t>
  </si>
  <si>
    <t>Vorbachzimmern</t>
  </si>
  <si>
    <t>Wermutshausen</t>
  </si>
  <si>
    <t>Wildentierbach</t>
  </si>
  <si>
    <t>Rauenberg</t>
  </si>
  <si>
    <t>Nassau</t>
  </si>
  <si>
    <t>Weikersheim</t>
  </si>
  <si>
    <t>Adolzhausen</t>
  </si>
  <si>
    <t>Assamstadt</t>
  </si>
  <si>
    <t>Laudenbach</t>
  </si>
  <si>
    <t>Honsbronn</t>
  </si>
  <si>
    <t>Haagen</t>
  </si>
  <si>
    <t>Schmerbach</t>
  </si>
  <si>
    <t>Craintal</t>
  </si>
  <si>
    <t>Wachbach</t>
  </si>
  <si>
    <t>Stuppach</t>
  </si>
  <si>
    <t>Rot</t>
  </si>
  <si>
    <t>Rengershausen</t>
  </si>
  <si>
    <t>Markelsheim</t>
  </si>
  <si>
    <t>Löffelstelzen</t>
  </si>
  <si>
    <t>Blumweiler</t>
  </si>
  <si>
    <t>Queckbronn</t>
  </si>
  <si>
    <t>Schäftersheim</t>
  </si>
  <si>
    <t>Archshofen</t>
  </si>
  <si>
    <t>Neunkirchen</t>
  </si>
  <si>
    <t>Elpersheim</t>
  </si>
  <si>
    <t>Bünzwangen</t>
  </si>
  <si>
    <t>Ebersbach an der Fils</t>
  </si>
  <si>
    <t>Albershausen</t>
  </si>
  <si>
    <t>Sparwiesen</t>
  </si>
  <si>
    <t>Uhingen</t>
  </si>
  <si>
    <t>Holzhausen</t>
  </si>
  <si>
    <t>Baiereck</t>
  </si>
  <si>
    <t>Schlierbach</t>
  </si>
  <si>
    <t>Roßwälden</t>
  </si>
  <si>
    <t>Ebersbach</t>
  </si>
  <si>
    <t>Rechberghausen</t>
  </si>
  <si>
    <t>Börtlingen</t>
  </si>
  <si>
    <t>Geislingen an der Steige</t>
  </si>
  <si>
    <t>Birenbach</t>
  </si>
  <si>
    <t>Boll</t>
  </si>
  <si>
    <t>Dürnau</t>
  </si>
  <si>
    <t>Gammelshausen</t>
  </si>
  <si>
    <t>Kuchen</t>
  </si>
  <si>
    <t>Überkingen</t>
  </si>
  <si>
    <t>Bad Überkingen</t>
  </si>
  <si>
    <t>Hausen</t>
  </si>
  <si>
    <t>Unterböhringen</t>
  </si>
  <si>
    <t>Eybach</t>
  </si>
  <si>
    <t>Zell</t>
  </si>
  <si>
    <t>Zell unter Aichelberg</t>
  </si>
  <si>
    <t>Türkheim</t>
  </si>
  <si>
    <t>Hattenhofen</t>
  </si>
  <si>
    <t>Weiler/Geislingen an d</t>
  </si>
  <si>
    <t>Deggingen</t>
  </si>
  <si>
    <t>Reichenbach/Deggingen</t>
  </si>
  <si>
    <t>Ditzenbach</t>
  </si>
  <si>
    <t>Bad Ditzenbach</t>
  </si>
  <si>
    <t>Auendorf</t>
  </si>
  <si>
    <t>Gosbach</t>
  </si>
  <si>
    <t>Gruibingen</t>
  </si>
  <si>
    <t>Mühlhausen</t>
  </si>
  <si>
    <t>Mühlhausen im Täle</t>
  </si>
  <si>
    <t>Wiesensteig</t>
  </si>
  <si>
    <t>Drackenstein</t>
  </si>
  <si>
    <t>Stötten</t>
  </si>
  <si>
    <t>Weißenstein</t>
  </si>
  <si>
    <t>Lauterstein</t>
  </si>
  <si>
    <t>Adelberg</t>
  </si>
  <si>
    <t>Wäschenbeuren</t>
  </si>
  <si>
    <t>Wangen</t>
  </si>
  <si>
    <t>Göppingen</t>
  </si>
  <si>
    <t>Faurndau</t>
  </si>
  <si>
    <t>Hohenstaufen</t>
  </si>
  <si>
    <t>Lenglingen</t>
  </si>
  <si>
    <t>Maitis</t>
  </si>
  <si>
    <t>Schlat</t>
  </si>
  <si>
    <t>Ottenbach</t>
  </si>
  <si>
    <t>Eislingen</t>
  </si>
  <si>
    <t>Eislingen/Fils</t>
  </si>
  <si>
    <t>Aichelberg</t>
  </si>
  <si>
    <t>Nenningen</t>
  </si>
  <si>
    <t>Donzdorf</t>
  </si>
  <si>
    <t>Winzingen</t>
  </si>
  <si>
    <t>Süßen</t>
  </si>
  <si>
    <t>Gingen</t>
  </si>
  <si>
    <t>Gingen an der Fils</t>
  </si>
  <si>
    <t>Böhmenkirch</t>
  </si>
  <si>
    <t>Schnittlingen</t>
  </si>
  <si>
    <t>Steinenkirch</t>
  </si>
  <si>
    <t>Treffelhausen</t>
  </si>
  <si>
    <t>Eschenbach</t>
  </si>
  <si>
    <t>Salach</t>
  </si>
  <si>
    <t>Itzelberg</t>
  </si>
  <si>
    <t>Königsbronn</t>
  </si>
  <si>
    <t>Hohenmemmingen</t>
  </si>
  <si>
    <t>Giengen an der Brenz</t>
  </si>
  <si>
    <t>Gussenstadt</t>
  </si>
  <si>
    <t>Gerstetten</t>
  </si>
  <si>
    <t>Heldenfingen</t>
  </si>
  <si>
    <t>Herbrechtingen</t>
  </si>
  <si>
    <t>Bissingen</t>
  </si>
  <si>
    <t>Bolheim</t>
  </si>
  <si>
    <t>Dischingen</t>
  </si>
  <si>
    <t>Dettingen</t>
  </si>
  <si>
    <t>Großkuchen</t>
  </si>
  <si>
    <t>Heidenheim an der Brenz</t>
  </si>
  <si>
    <t>Hürben</t>
  </si>
  <si>
    <t>Hermaringen</t>
  </si>
  <si>
    <t>Sontheim</t>
  </si>
  <si>
    <t>Sontheim an der Brenz</t>
  </si>
  <si>
    <t>Niederstotzingen</t>
  </si>
  <si>
    <t>Oberstotzingen</t>
  </si>
  <si>
    <t>Giengen</t>
  </si>
  <si>
    <t>Demmingen</t>
  </si>
  <si>
    <t>Burgberg</t>
  </si>
  <si>
    <t>Ballmertshofen</t>
  </si>
  <si>
    <t>Dunstelkingen</t>
  </si>
  <si>
    <t>Eglingen</t>
  </si>
  <si>
    <t>Frickingen</t>
  </si>
  <si>
    <t>Trugenhofen</t>
  </si>
  <si>
    <t>Nattheim</t>
  </si>
  <si>
    <t>Auernheim</t>
  </si>
  <si>
    <t>Steinheim</t>
  </si>
  <si>
    <t>Steinheim am Albuch</t>
  </si>
  <si>
    <t>Fleinheim</t>
  </si>
  <si>
    <t>Söhnstetten</t>
  </si>
  <si>
    <t>Zang</t>
  </si>
  <si>
    <t>Ochsenberg</t>
  </si>
  <si>
    <t>Heidenheim</t>
  </si>
  <si>
    <t>Stockheim</t>
  </si>
  <si>
    <t>Brackenheim</t>
  </si>
  <si>
    <t>Böckingen</t>
  </si>
  <si>
    <t>Heilbronn</t>
  </si>
  <si>
    <t>Neipperg</t>
  </si>
  <si>
    <t>Pfaffenhofen</t>
  </si>
  <si>
    <t>Güglingen</t>
  </si>
  <si>
    <t>Eibensbach</t>
  </si>
  <si>
    <t>Frauenzimmern</t>
  </si>
  <si>
    <t>Cleebronn</t>
  </si>
  <si>
    <t>Zaberfeld</t>
  </si>
  <si>
    <t>Leonbronn</t>
  </si>
  <si>
    <t>Kirchhausen</t>
  </si>
  <si>
    <t>Frankenbach</t>
  </si>
  <si>
    <t>Horkheim</t>
  </si>
  <si>
    <t>Ochsenburg</t>
  </si>
  <si>
    <t>Meimsheim</t>
  </si>
  <si>
    <t>Michelbach</t>
  </si>
  <si>
    <t>Heinsheim</t>
  </si>
  <si>
    <t>Bad Rappenau</t>
  </si>
  <si>
    <t>Gemmingen</t>
  </si>
  <si>
    <t>Degmarn</t>
  </si>
  <si>
    <t>Oedheim</t>
  </si>
  <si>
    <t>Friedrichshall</t>
  </si>
  <si>
    <t>Bad Friedrichshall</t>
  </si>
  <si>
    <t>Duttenberg</t>
  </si>
  <si>
    <t>Untergriesheim</t>
  </si>
  <si>
    <t>Offenau</t>
  </si>
  <si>
    <t>Wimpfen</t>
  </si>
  <si>
    <t>Bad Wimpfen</t>
  </si>
  <si>
    <t>Siegelsbach</t>
  </si>
  <si>
    <t>Rappenau</t>
  </si>
  <si>
    <t>Babstadt</t>
  </si>
  <si>
    <t>Bonfeld</t>
  </si>
  <si>
    <t>Langenbeutingen</t>
  </si>
  <si>
    <t>Langenbrettach</t>
  </si>
  <si>
    <t>Grombach</t>
  </si>
  <si>
    <t>Brettach</t>
  </si>
  <si>
    <t>Obergimpern</t>
  </si>
  <si>
    <t>Treschklingen</t>
  </si>
  <si>
    <t>Wollenberg</t>
  </si>
  <si>
    <t>Kirchardt</t>
  </si>
  <si>
    <t>Berwangen</t>
  </si>
  <si>
    <t>Bockschaft</t>
  </si>
  <si>
    <t>Neckarsulm</t>
  </si>
  <si>
    <t>Dahenfeld</t>
  </si>
  <si>
    <t>Obereisesheim</t>
  </si>
  <si>
    <t>Untereisesheim</t>
  </si>
  <si>
    <t>Erlenbach</t>
  </si>
  <si>
    <t>Ittlingen</t>
  </si>
  <si>
    <t>Fürfeld</t>
  </si>
  <si>
    <t>Gundelsheim</t>
  </si>
  <si>
    <t>Roigheim</t>
  </si>
  <si>
    <t>Möckmühl</t>
  </si>
  <si>
    <t>Bittelbronn</t>
  </si>
  <si>
    <t>Ruchsen</t>
  </si>
  <si>
    <t>Züttlingen</t>
  </si>
  <si>
    <t>Widdern</t>
  </si>
  <si>
    <t>Unterkessach</t>
  </si>
  <si>
    <t>Jagsthausen</t>
  </si>
  <si>
    <t>Olnhausen</t>
  </si>
  <si>
    <t>Neudenau</t>
  </si>
  <si>
    <t>Siglingen</t>
  </si>
  <si>
    <t>Gochsen</t>
  </si>
  <si>
    <t>Hardthausen am Kocher</t>
  </si>
  <si>
    <t>Bachenau</t>
  </si>
  <si>
    <t>Höchstberg</t>
  </si>
  <si>
    <t>Biberach</t>
  </si>
  <si>
    <t>Tiefenbach</t>
  </si>
  <si>
    <t>Kochersteinsfeld</t>
  </si>
  <si>
    <t>Lampoldshausen</t>
  </si>
  <si>
    <t>Neuenstadt</t>
  </si>
  <si>
    <t>Neuenstadt am Kocher</t>
  </si>
  <si>
    <t>Cleversulzbach</t>
  </si>
  <si>
    <t>Kochertürn</t>
  </si>
  <si>
    <t>Stein</t>
  </si>
  <si>
    <t>Herbolzheim</t>
  </si>
  <si>
    <t>Schozach</t>
  </si>
  <si>
    <t>Ilsfeld</t>
  </si>
  <si>
    <t>Löwenstein</t>
  </si>
  <si>
    <t>Hößlinsülz</t>
  </si>
  <si>
    <t>Wüstenrot</t>
  </si>
  <si>
    <t>Finsterrot</t>
  </si>
  <si>
    <t>Maienfels</t>
  </si>
  <si>
    <t>Neuhütten</t>
  </si>
  <si>
    <t>Neulautern</t>
  </si>
  <si>
    <t>Untergruppenbach</t>
  </si>
  <si>
    <t>Unterheinriet</t>
  </si>
  <si>
    <t>Abstatt</t>
  </si>
  <si>
    <t>Beilstein</t>
  </si>
  <si>
    <t>Willsbach</t>
  </si>
  <si>
    <t>Obersulm</t>
  </si>
  <si>
    <t>Auenstein</t>
  </si>
  <si>
    <t>Schmidhausen</t>
  </si>
  <si>
    <t>Flein</t>
  </si>
  <si>
    <t>Talheim</t>
  </si>
  <si>
    <t>Nordheim</t>
  </si>
  <si>
    <t>Lauffen</t>
  </si>
  <si>
    <t>Lauffen am Neckar</t>
  </si>
  <si>
    <t>Neckarwestheim</t>
  </si>
  <si>
    <t>Botenheim</t>
  </si>
  <si>
    <t>Dürrenzimmern</t>
  </si>
  <si>
    <t>Haberschlacht</t>
  </si>
  <si>
    <t>Stebbach</t>
  </si>
  <si>
    <t>Obergriesheim</t>
  </si>
  <si>
    <t>Kleingartach</t>
  </si>
  <si>
    <t>Eppingen</t>
  </si>
  <si>
    <t>Adelshofen</t>
  </si>
  <si>
    <t>Elsenz</t>
  </si>
  <si>
    <t>Weiler/Obersulm</t>
  </si>
  <si>
    <t>Mühlbach</t>
  </si>
  <si>
    <t>Richen</t>
  </si>
  <si>
    <t>Rohrbach</t>
  </si>
  <si>
    <t>Massenbachhausen</t>
  </si>
  <si>
    <t>Schwaigern</t>
  </si>
  <si>
    <t>Massenbach</t>
  </si>
  <si>
    <t>Niederhofen</t>
  </si>
  <si>
    <t>Großgartach</t>
  </si>
  <si>
    <t>Leingarten</t>
  </si>
  <si>
    <t>Schluchtern</t>
  </si>
  <si>
    <t>Grantschen</t>
  </si>
  <si>
    <t>Weinsberg</t>
  </si>
  <si>
    <t>Eschenau</t>
  </si>
  <si>
    <t>Affaltrach</t>
  </si>
  <si>
    <t>Lehrensteinsfeld</t>
  </si>
  <si>
    <t>Wimmental</t>
  </si>
  <si>
    <t>Eichelberg</t>
  </si>
  <si>
    <t>Gellmersbach</t>
  </si>
  <si>
    <t>Hölzern</t>
  </si>
  <si>
    <t>Eberstadt</t>
  </si>
  <si>
    <t>Suelzbach</t>
  </si>
  <si>
    <t>Ellhofen</t>
  </si>
  <si>
    <t>Maichingen</t>
  </si>
  <si>
    <t>Sindelfingen</t>
  </si>
  <si>
    <t>Schafhausen</t>
  </si>
  <si>
    <t>Weil der Stadt</t>
  </si>
  <si>
    <t>Magstadt</t>
  </si>
  <si>
    <t>Darmsheim</t>
  </si>
  <si>
    <t>Böblingen</t>
  </si>
  <si>
    <t>Dagersheim</t>
  </si>
  <si>
    <t>Dätzingen</t>
  </si>
  <si>
    <t>Grafenau</t>
  </si>
  <si>
    <t>Münklingen</t>
  </si>
  <si>
    <t>Aidlingen</t>
  </si>
  <si>
    <t>Renningen</t>
  </si>
  <si>
    <t>Dachtel</t>
  </si>
  <si>
    <t>Deufringen</t>
  </si>
  <si>
    <t>Döffingen</t>
  </si>
  <si>
    <t>Merklingen</t>
  </si>
  <si>
    <t>Rutesheim</t>
  </si>
  <si>
    <t>Malmsheim</t>
  </si>
  <si>
    <t>Ehningen</t>
  </si>
  <si>
    <t>Warmbronn</t>
  </si>
  <si>
    <t>Leonberg</t>
  </si>
  <si>
    <t>Höfingen</t>
  </si>
  <si>
    <t>Gebersheim</t>
  </si>
  <si>
    <t>Perouse</t>
  </si>
  <si>
    <t>Weissach</t>
  </si>
  <si>
    <t>Kuppingen</t>
  </si>
  <si>
    <t>Herrenberg</t>
  </si>
  <si>
    <t>Flacht</t>
  </si>
  <si>
    <t>Mötzingen</t>
  </si>
  <si>
    <t>Haslach</t>
  </si>
  <si>
    <t>Bondorf</t>
  </si>
  <si>
    <t>Gärtringen</t>
  </si>
  <si>
    <t>Tailfingen</t>
  </si>
  <si>
    <t>Gäufelden</t>
  </si>
  <si>
    <t>Nebringen</t>
  </si>
  <si>
    <t>Unterjettingen</t>
  </si>
  <si>
    <t>Jettingen</t>
  </si>
  <si>
    <t>Oberjettingen</t>
  </si>
  <si>
    <t>Oberjesingen</t>
  </si>
  <si>
    <t>Mönchberg</t>
  </si>
  <si>
    <t>Kayh</t>
  </si>
  <si>
    <t>Gültstein</t>
  </si>
  <si>
    <t>Schönaich</t>
  </si>
  <si>
    <t>Rohrau</t>
  </si>
  <si>
    <t>Steinenbronn</t>
  </si>
  <si>
    <t>Waldenbuch</t>
  </si>
  <si>
    <t>Weil</t>
  </si>
  <si>
    <t>Weil im Schönbuch</t>
  </si>
  <si>
    <t>Breitenstein</t>
  </si>
  <si>
    <t>Holzgerlingen</t>
  </si>
  <si>
    <t>Altdorf</t>
  </si>
  <si>
    <t>Hildrizhausen</t>
  </si>
  <si>
    <t>Deckenpfronn</t>
  </si>
  <si>
    <t>Neuweiler</t>
  </si>
  <si>
    <t>Nufringen</t>
  </si>
  <si>
    <t>Cannstatt</t>
  </si>
  <si>
    <t>Stuttgart</t>
  </si>
  <si>
    <t>Möhringen</t>
  </si>
  <si>
    <t>Hofen/Stuttgart</t>
  </si>
  <si>
    <t>Heumaden</t>
  </si>
  <si>
    <t>Botnang</t>
  </si>
  <si>
    <t>Feuerbach</t>
  </si>
  <si>
    <t>Obertürkheim</t>
  </si>
  <si>
    <t>Vaihingen/Stuttgart</t>
  </si>
  <si>
    <t>Hedelfingen</t>
  </si>
  <si>
    <t>Plieningen</t>
  </si>
  <si>
    <t>Rohr</t>
  </si>
  <si>
    <t>Rohracker</t>
  </si>
  <si>
    <t>Sillenbuch</t>
  </si>
  <si>
    <t>Stammheim</t>
  </si>
  <si>
    <t>Untertürkheim</t>
  </si>
  <si>
    <t>Weilimdorf</t>
  </si>
  <si>
    <t>Zuffenhausen</t>
  </si>
  <si>
    <t>Riedenberg</t>
  </si>
  <si>
    <t>Birkach</t>
  </si>
  <si>
    <t>Uhlbach</t>
  </si>
  <si>
    <t>Gündelbach</t>
  </si>
  <si>
    <t>Vaihingen an der Enz</t>
  </si>
  <si>
    <t>Gerlingen</t>
  </si>
  <si>
    <t>Hochdorf/Eberdingen</t>
  </si>
  <si>
    <t>Eberdingen</t>
  </si>
  <si>
    <t>Oberriexingen</t>
  </si>
  <si>
    <t>Sersheim</t>
  </si>
  <si>
    <t>Roßwag</t>
  </si>
  <si>
    <t>Riet</t>
  </si>
  <si>
    <t>Markgröningen</t>
  </si>
  <si>
    <t>Horrheim</t>
  </si>
  <si>
    <t>Asperg</t>
  </si>
  <si>
    <t>Enzweihingen</t>
  </si>
  <si>
    <t>Ensingen</t>
  </si>
  <si>
    <t>Aurich</t>
  </si>
  <si>
    <t>Vaihingen</t>
  </si>
  <si>
    <t>Heutingsheim</t>
  </si>
  <si>
    <t>Freiberg am Neckar</t>
  </si>
  <si>
    <t>Geisingen</t>
  </si>
  <si>
    <t>Beihingen</t>
  </si>
  <si>
    <t>Kleinglattbach</t>
  </si>
  <si>
    <t>Neckargröningen</t>
  </si>
  <si>
    <t>Remseck am Neckar</t>
  </si>
  <si>
    <t>Schöckingen</t>
  </si>
  <si>
    <t>Ditzingen</t>
  </si>
  <si>
    <t>Hirschlanden</t>
  </si>
  <si>
    <t>Korntal</t>
  </si>
  <si>
    <t>Korntal-Münchingen</t>
  </si>
  <si>
    <t>Hemmingen</t>
  </si>
  <si>
    <t>Schwieberdingen</t>
  </si>
  <si>
    <t>Möglingen</t>
  </si>
  <si>
    <t>Nussdorf</t>
  </si>
  <si>
    <t>Neckarrems</t>
  </si>
  <si>
    <t>Erdmannhausen</t>
  </si>
  <si>
    <t>Hochdorf</t>
  </si>
  <si>
    <t>Hochberg</t>
  </si>
  <si>
    <t>Aldingen</t>
  </si>
  <si>
    <t>Poppenweiler</t>
  </si>
  <si>
    <t>Ludwigsburg</t>
  </si>
  <si>
    <t>Oßweil</t>
  </si>
  <si>
    <t>Neckarweihingen</t>
  </si>
  <si>
    <t>Kornwestheim</t>
  </si>
  <si>
    <t>Freudental</t>
  </si>
  <si>
    <t>Hohenstein</t>
  </si>
  <si>
    <t>Bönnigheim</t>
  </si>
  <si>
    <t>Kirchheim am Neckar</t>
  </si>
  <si>
    <t>Löchgau</t>
  </si>
  <si>
    <t>Ottmarsheim</t>
  </si>
  <si>
    <t>Besigheim</t>
  </si>
  <si>
    <t>Pleidelsheim</t>
  </si>
  <si>
    <t>Mundelsheim</t>
  </si>
  <si>
    <t>Häfnerhaslach</t>
  </si>
  <si>
    <t>Sachsenheim</t>
  </si>
  <si>
    <t>Walheim</t>
  </si>
  <si>
    <t>Gemmrigheim</t>
  </si>
  <si>
    <t>Winzerhausen</t>
  </si>
  <si>
    <t>Großbottwar</t>
  </si>
  <si>
    <t>Hof und Lembach</t>
  </si>
  <si>
    <t>Gronau</t>
  </si>
  <si>
    <t>Oberstenfeld</t>
  </si>
  <si>
    <t>Hessigheim</t>
  </si>
  <si>
    <t>Bietigheim-Bissingen</t>
  </si>
  <si>
    <t>Heimerdingen</t>
  </si>
  <si>
    <t>Rielingshausen</t>
  </si>
  <si>
    <t>Marbach am Neckar</t>
  </si>
  <si>
    <t>Benningen</t>
  </si>
  <si>
    <t>Benningen am Neckar</t>
  </si>
  <si>
    <t>Murr</t>
  </si>
  <si>
    <t>Kleinbottwar</t>
  </si>
  <si>
    <t>Steinheim an der Murr</t>
  </si>
  <si>
    <t>Höpfigheim</t>
  </si>
  <si>
    <t>Erligheim</t>
  </si>
  <si>
    <t>Tamm</t>
  </si>
  <si>
    <t>Großsachsenheim</t>
  </si>
  <si>
    <t>Bietigheim</t>
  </si>
  <si>
    <t>Kleiningersheim</t>
  </si>
  <si>
    <t>Ingersheim</t>
  </si>
  <si>
    <t>Großingersheim</t>
  </si>
  <si>
    <t>Spielberg</t>
  </si>
  <si>
    <t>Ochsenbach</t>
  </si>
  <si>
    <t>Kleinsachsenheim</t>
  </si>
  <si>
    <t>Hohenhaslach</t>
  </si>
  <si>
    <t>Affalterbach</t>
  </si>
  <si>
    <t>Münchingen</t>
  </si>
  <si>
    <t>Neidlingen</t>
  </si>
  <si>
    <t>Frickenhausen</t>
  </si>
  <si>
    <t>Zizishausen</t>
  </si>
  <si>
    <t>Nürtingen</t>
  </si>
  <si>
    <t>Reudern</t>
  </si>
  <si>
    <t>Raidwangen</t>
  </si>
  <si>
    <t>Neckarhausen</t>
  </si>
  <si>
    <t>Hardt</t>
  </si>
  <si>
    <t>Oberboihingen</t>
  </si>
  <si>
    <t>Ötlingen</t>
  </si>
  <si>
    <t>Kirchheim unter Teck</t>
  </si>
  <si>
    <t>Unterensingen</t>
  </si>
  <si>
    <t>Großbettlingen</t>
  </si>
  <si>
    <t>Ochsenwang</t>
  </si>
  <si>
    <t>Bissingen an der Teck</t>
  </si>
  <si>
    <t>Hepsisau</t>
  </si>
  <si>
    <t>Weilheim an der Teck</t>
  </si>
  <si>
    <t>Weilheim</t>
  </si>
  <si>
    <t>Holzmaden</t>
  </si>
  <si>
    <t>Ohmden</t>
  </si>
  <si>
    <t>Dettingen unter Teck</t>
  </si>
  <si>
    <t>Wolfschlugen</t>
  </si>
  <si>
    <t>Unterlenningen</t>
  </si>
  <si>
    <t>Lenningen</t>
  </si>
  <si>
    <t>Schopfloch</t>
  </si>
  <si>
    <t>Oberlenningen</t>
  </si>
  <si>
    <t>Gutenberg</t>
  </si>
  <si>
    <t>Erkenbrechtsweiler</t>
  </si>
  <si>
    <t>Kappishäusern</t>
  </si>
  <si>
    <t>Neuffen</t>
  </si>
  <si>
    <t>Kohlberg</t>
  </si>
  <si>
    <t>Beuren</t>
  </si>
  <si>
    <t>Linsenhofen</t>
  </si>
  <si>
    <t>Bempflingen</t>
  </si>
  <si>
    <t>Tischardt</t>
  </si>
  <si>
    <t>Neckartenzlingen</t>
  </si>
  <si>
    <t>Altenriet</t>
  </si>
  <si>
    <t>Schlaitdorf</t>
  </si>
  <si>
    <t>Neckartailfingen</t>
  </si>
  <si>
    <t>Neuenhaus</t>
  </si>
  <si>
    <t>Aichtal</t>
  </si>
  <si>
    <t>Aich</t>
  </si>
  <si>
    <t>Grötzingen</t>
  </si>
  <si>
    <t>Kleinbettlingen</t>
  </si>
  <si>
    <t>Hohengehren</t>
  </si>
  <si>
    <t>Baltmannsweiler</t>
  </si>
  <si>
    <t>Ruit</t>
  </si>
  <si>
    <t>Ostfildern</t>
  </si>
  <si>
    <t>Nellingen</t>
  </si>
  <si>
    <t>Kemnat</t>
  </si>
  <si>
    <t>Deizisau</t>
  </si>
  <si>
    <t>Plochingen</t>
  </si>
  <si>
    <t>Altbach</t>
  </si>
  <si>
    <t>Scharnhausen</t>
  </si>
  <si>
    <t>Thomashardt</t>
  </si>
  <si>
    <t>Lichtenwald</t>
  </si>
  <si>
    <t>Reichenbach an der Fils</t>
  </si>
  <si>
    <t>Esslingen</t>
  </si>
  <si>
    <t>Esslingen am Neckar</t>
  </si>
  <si>
    <t>Schanbach</t>
  </si>
  <si>
    <t>Aichwald</t>
  </si>
  <si>
    <t>Aichschieß</t>
  </si>
  <si>
    <t>Owen</t>
  </si>
  <si>
    <t>Nabern</t>
  </si>
  <si>
    <t>Bonlanden</t>
  </si>
  <si>
    <t>Filderstadt</t>
  </si>
  <si>
    <t>Hegenlohe</t>
  </si>
  <si>
    <t>Denkendorf</t>
  </si>
  <si>
    <t>Notzingen</t>
  </si>
  <si>
    <t>Sielmingen</t>
  </si>
  <si>
    <t>Bernhausen</t>
  </si>
  <si>
    <t>Leinfelden-Echterdingen</t>
  </si>
  <si>
    <t>Neuhausen</t>
  </si>
  <si>
    <t>Neuhausen auf den Filder</t>
  </si>
  <si>
    <t>Wernau</t>
  </si>
  <si>
    <t>Wernau (Neckar)</t>
  </si>
  <si>
    <t>Plattenhardt</t>
  </si>
  <si>
    <t>Wendlingen</t>
  </si>
  <si>
    <t>Wendlingen am Neckar</t>
  </si>
  <si>
    <t>Jesingen</t>
  </si>
  <si>
    <t>Echterdingen</t>
  </si>
  <si>
    <t>Leinfelden</t>
  </si>
  <si>
    <t>Musberg</t>
  </si>
  <si>
    <t>Köngen</t>
  </si>
  <si>
    <t>Buchenbach</t>
  </si>
  <si>
    <t>Mulfingen</t>
  </si>
  <si>
    <t>Neureut</t>
  </si>
  <si>
    <t>Neuenstein</t>
  </si>
  <si>
    <t>Dörzbach</t>
  </si>
  <si>
    <t>Hohebach</t>
  </si>
  <si>
    <t>Laibach</t>
  </si>
  <si>
    <t>Meßbach</t>
  </si>
  <si>
    <t>Ailringen</t>
  </si>
  <si>
    <t>Eberbach</t>
  </si>
  <si>
    <t>Hollenbach</t>
  </si>
  <si>
    <t>Jagstberg</t>
  </si>
  <si>
    <t>Simprechtshausen</t>
  </si>
  <si>
    <t>Zaisenhausen</t>
  </si>
  <si>
    <t>Schöntal</t>
  </si>
  <si>
    <t>Obersöllbach</t>
  </si>
  <si>
    <t>Unterginsbach</t>
  </si>
  <si>
    <t>Krautheim</t>
  </si>
  <si>
    <t>Eckartsweiler</t>
  </si>
  <si>
    <t>Öhringen</t>
  </si>
  <si>
    <t>Aschhausen</t>
  </si>
  <si>
    <t>Bieringen</t>
  </si>
  <si>
    <t>Nitzenhausen</t>
  </si>
  <si>
    <t>Künzelsau</t>
  </si>
  <si>
    <t>Cappel</t>
  </si>
  <si>
    <t>Berlichingen</t>
  </si>
  <si>
    <t>Baumerlenbach</t>
  </si>
  <si>
    <t>Westernbach</t>
  </si>
  <si>
    <t>Zweiflingen</t>
  </si>
  <si>
    <t>Orendelsall</t>
  </si>
  <si>
    <t>Büttelbronn</t>
  </si>
  <si>
    <t>Obersteinbach</t>
  </si>
  <si>
    <t>Waldenburg</t>
  </si>
  <si>
    <t>Oberndorf</t>
  </si>
  <si>
    <t>Altkrautheim</t>
  </si>
  <si>
    <t>Gommersdorf</t>
  </si>
  <si>
    <t>Horrenbach</t>
  </si>
  <si>
    <t>Klepsau</t>
  </si>
  <si>
    <t>Neunstetten</t>
  </si>
  <si>
    <t>Oberginsbach</t>
  </si>
  <si>
    <t>Criesbach</t>
  </si>
  <si>
    <t>Ingelfingen</t>
  </si>
  <si>
    <t>Weißbach</t>
  </si>
  <si>
    <t>Belsenberg</t>
  </si>
  <si>
    <t>Amrichshausen</t>
  </si>
  <si>
    <t>Weldingsfelden</t>
  </si>
  <si>
    <t>Hermuthausen</t>
  </si>
  <si>
    <t>Eberstal</t>
  </si>
  <si>
    <t>Kocherstetten</t>
  </si>
  <si>
    <t>Diebach</t>
  </si>
  <si>
    <t>Laßbach</t>
  </si>
  <si>
    <t>Marlach</t>
  </si>
  <si>
    <t>Oberkessach</t>
  </si>
  <si>
    <t>Sindeldorf</t>
  </si>
  <si>
    <t>Westernhausen</t>
  </si>
  <si>
    <t>Winzenhofen</t>
  </si>
  <si>
    <t>Rappach</t>
  </si>
  <si>
    <t>Bretzfeld</t>
  </si>
  <si>
    <t>Dörrenzimmern</t>
  </si>
  <si>
    <t>Wohlmuthausen</t>
  </si>
  <si>
    <t>Forchtenberg</t>
  </si>
  <si>
    <t>Mangoldsall</t>
  </si>
  <si>
    <t>Kupferzell</t>
  </si>
  <si>
    <t>Westernach</t>
  </si>
  <si>
    <t>Eschelbach</t>
  </si>
  <si>
    <t>Grünbühl</t>
  </si>
  <si>
    <t>Kesselfeld</t>
  </si>
  <si>
    <t>Feßbach</t>
  </si>
  <si>
    <t>Gaisbach</t>
  </si>
  <si>
    <t>Kleinhirschbach</t>
  </si>
  <si>
    <t>Sindringen</t>
  </si>
  <si>
    <t>Muthof</t>
  </si>
  <si>
    <t>Ernsbach</t>
  </si>
  <si>
    <t>Niedernhall</t>
  </si>
  <si>
    <t>Crispenhofen</t>
  </si>
  <si>
    <t>Morsbach</t>
  </si>
  <si>
    <t>Eschental</t>
  </si>
  <si>
    <t>Dimbach</t>
  </si>
  <si>
    <t>Kirchensall</t>
  </si>
  <si>
    <t>Goggenbach</t>
  </si>
  <si>
    <t>Ohrnberg</t>
  </si>
  <si>
    <t>Waldbach</t>
  </si>
  <si>
    <t>Unterheimbach</t>
  </si>
  <si>
    <t>Siebeneich</t>
  </si>
  <si>
    <t>Schwabbach</t>
  </si>
  <si>
    <t>Scheppach</t>
  </si>
  <si>
    <t>Geddelsbach</t>
  </si>
  <si>
    <t>Adolzfurt</t>
  </si>
  <si>
    <t>Windischenbach</t>
  </si>
  <si>
    <t>Pfedelbach</t>
  </si>
  <si>
    <t>Untersteinbach</t>
  </si>
  <si>
    <t>Oberohrn</t>
  </si>
  <si>
    <t>Harsberg</t>
  </si>
  <si>
    <t>Schwöllbronn</t>
  </si>
  <si>
    <t>Bitzfeld</t>
  </si>
  <si>
    <t>Verrenberg</t>
  </si>
  <si>
    <t>Kirchberg an der Jagst</t>
  </si>
  <si>
    <t>Rechenberg</t>
  </si>
  <si>
    <t>Stimpfach</t>
  </si>
  <si>
    <t>Oberspeltach</t>
  </si>
  <si>
    <t>Frankenhardt</t>
  </si>
  <si>
    <t>Honhardt</t>
  </si>
  <si>
    <t>Gründelhardt</t>
  </si>
  <si>
    <t>Weipertshofen</t>
  </si>
  <si>
    <t>Triensbach</t>
  </si>
  <si>
    <t>Crailsheim</t>
  </si>
  <si>
    <t>Matzenbach</t>
  </si>
  <si>
    <t>Fichtenau</t>
  </si>
  <si>
    <t>Gaggstatt</t>
  </si>
  <si>
    <t>Hornberg</t>
  </si>
  <si>
    <t>Westgartshausen</t>
  </si>
  <si>
    <t>Leukershausen</t>
  </si>
  <si>
    <t>Kreßberg</t>
  </si>
  <si>
    <t>Mariäkappel</t>
  </si>
  <si>
    <t>Marktlustenau</t>
  </si>
  <si>
    <t>Schwäbisch Hall</t>
  </si>
  <si>
    <t>Lautenbach</t>
  </si>
  <si>
    <t>Unterdeufstetten</t>
  </si>
  <si>
    <t>Wildenstein</t>
  </si>
  <si>
    <t>Goldbach</t>
  </si>
  <si>
    <t>Bibersfeld</t>
  </si>
  <si>
    <t>Eltershofen</t>
  </si>
  <si>
    <t>Gailenkirchen</t>
  </si>
  <si>
    <t>Gelbingen</t>
  </si>
  <si>
    <t>Sulzdorf</t>
  </si>
  <si>
    <t>Waldtann</t>
  </si>
  <si>
    <t>Vellberg</t>
  </si>
  <si>
    <t>Jungholzhausen</t>
  </si>
  <si>
    <t>Braunsbach</t>
  </si>
  <si>
    <t>Orlach</t>
  </si>
  <si>
    <t>Steinkirchen</t>
  </si>
  <si>
    <t>Untermünkheim</t>
  </si>
  <si>
    <t>Enslingen</t>
  </si>
  <si>
    <t>Übrigshausen</t>
  </si>
  <si>
    <t>Wolpertshausen</t>
  </si>
  <si>
    <t>Ilshofen</t>
  </si>
  <si>
    <t>Eckartshausen</t>
  </si>
  <si>
    <t>Obersteinach</t>
  </si>
  <si>
    <t>Onolzheim</t>
  </si>
  <si>
    <t>Lendsiedel</t>
  </si>
  <si>
    <t>Großaltdorf</t>
  </si>
  <si>
    <t>Satteldorf</t>
  </si>
  <si>
    <t>Ellrichshausen</t>
  </si>
  <si>
    <t>Gröningen</t>
  </si>
  <si>
    <t>Bubenorbis</t>
  </si>
  <si>
    <t>Mainhardt</t>
  </si>
  <si>
    <t>Jagstheim</t>
  </si>
  <si>
    <t>Tüngental</t>
  </si>
  <si>
    <t>Roßfeld</t>
  </si>
  <si>
    <t>Döttingen</t>
  </si>
  <si>
    <t>Arnsdorf</t>
  </si>
  <si>
    <t>Unteraspach</t>
  </si>
  <si>
    <t>Herrentierbach</t>
  </si>
  <si>
    <t>Blaufelden</t>
  </si>
  <si>
    <t>Reubach</t>
  </si>
  <si>
    <t>Rot am See</t>
  </si>
  <si>
    <t>Brettheim</t>
  </si>
  <si>
    <t>Beimbach</t>
  </si>
  <si>
    <t>Michelbach/Gerabronn</t>
  </si>
  <si>
    <t>Gerabronn</t>
  </si>
  <si>
    <t>Dünsbach</t>
  </si>
  <si>
    <t>Amlishagen</t>
  </si>
  <si>
    <t>Bächlingen</t>
  </si>
  <si>
    <t>Langenburg</t>
  </si>
  <si>
    <t>Weckrieden</t>
  </si>
  <si>
    <t>Wiesenbach</t>
  </si>
  <si>
    <t>Wallhausen</t>
  </si>
  <si>
    <t>Gammesfeld</t>
  </si>
  <si>
    <t>Billingsbach</t>
  </si>
  <si>
    <t>Spielbach</t>
  </si>
  <si>
    <t>Schrozberg</t>
  </si>
  <si>
    <t>Schmalfelden</t>
  </si>
  <si>
    <t>Riedbach</t>
  </si>
  <si>
    <t>Leuzendorf</t>
  </si>
  <si>
    <t>Ettenhausen</t>
  </si>
  <si>
    <t>Bartenstein</t>
  </si>
  <si>
    <t>Wittenweiler</t>
  </si>
  <si>
    <t>Bühlertann</t>
  </si>
  <si>
    <t>Michelfeld</t>
  </si>
  <si>
    <t>Gnadental</t>
  </si>
  <si>
    <t>Michelbach an der Bilz</t>
  </si>
  <si>
    <t>Rieden</t>
  </si>
  <si>
    <t>Rosengarten</t>
  </si>
  <si>
    <t>Uttenhofen</t>
  </si>
  <si>
    <t>Westheim</t>
  </si>
  <si>
    <t>Ammertsweiler</t>
  </si>
  <si>
    <t>Geißelhardt</t>
  </si>
  <si>
    <t>Hütten</t>
  </si>
  <si>
    <t>Obersontheim</t>
  </si>
  <si>
    <t>Mittelfischach</t>
  </si>
  <si>
    <t>Oberfischach</t>
  </si>
  <si>
    <t>Untersontheim</t>
  </si>
  <si>
    <t>Ottendorf</t>
  </si>
  <si>
    <t>Gaildorf</t>
  </si>
  <si>
    <t>Michelbach/Wallhausen</t>
  </si>
  <si>
    <t>Sulzbach-Laufen</t>
  </si>
  <si>
    <t>Laufen</t>
  </si>
  <si>
    <t>Fichtenberg</t>
  </si>
  <si>
    <t>Unterrot</t>
  </si>
  <si>
    <t>Hengstfeld</t>
  </si>
  <si>
    <t>Eutendorf</t>
  </si>
  <si>
    <t>Hausen/Oberrot</t>
  </si>
  <si>
    <t>Oberrot</t>
  </si>
  <si>
    <t>Geifertshofen</t>
  </si>
  <si>
    <t>Bühlerzell</t>
  </si>
  <si>
    <t>Au</t>
  </si>
  <si>
    <t>Au am Rhein</t>
  </si>
  <si>
    <t>Rotenfels</t>
  </si>
  <si>
    <t>Gaggenau</t>
  </si>
  <si>
    <t>Elchesheim</t>
  </si>
  <si>
    <t>Elchesheim-Illingen</t>
  </si>
  <si>
    <t>Lichtenau</t>
  </si>
  <si>
    <t>Oberweier/Buehl</t>
  </si>
  <si>
    <t>Bühl</t>
  </si>
  <si>
    <t>Reichental</t>
  </si>
  <si>
    <t>Gernsbach</t>
  </si>
  <si>
    <t>Staufenberg</t>
  </si>
  <si>
    <t>Weisenbach</t>
  </si>
  <si>
    <t>Au/Weisenbach</t>
  </si>
  <si>
    <t>Hügelsheim</t>
  </si>
  <si>
    <t>Sinzheim</t>
  </si>
  <si>
    <t>Leiberstung</t>
  </si>
  <si>
    <t>Greffern</t>
  </si>
  <si>
    <t>Rheinmünster</t>
  </si>
  <si>
    <t>Schwarzach</t>
  </si>
  <si>
    <t>Stollhofen</t>
  </si>
  <si>
    <t>Hilpertsau</t>
  </si>
  <si>
    <t>Grauelsbaum</t>
  </si>
  <si>
    <t>Muckenschopf</t>
  </si>
  <si>
    <t>Scherzheim</t>
  </si>
  <si>
    <t>Ulm</t>
  </si>
  <si>
    <t>Altschweier</t>
  </si>
  <si>
    <t>Balzhofen</t>
  </si>
  <si>
    <t>Eisental</t>
  </si>
  <si>
    <t>Moos</t>
  </si>
  <si>
    <t>Neusatz</t>
  </si>
  <si>
    <t>Oberbruch</t>
  </si>
  <si>
    <t>Söllingen</t>
  </si>
  <si>
    <t>Iffezheim</t>
  </si>
  <si>
    <t>Illingen</t>
  </si>
  <si>
    <t>Durmersheim</t>
  </si>
  <si>
    <t>Würmersheim</t>
  </si>
  <si>
    <t>Ötigheim</t>
  </si>
  <si>
    <t>Rastatt</t>
  </si>
  <si>
    <t>Niederbühl</t>
  </si>
  <si>
    <t>Ottersdorf</t>
  </si>
  <si>
    <t>Plittersdorf</t>
  </si>
  <si>
    <t>Obertsrot</t>
  </si>
  <si>
    <t>Wintersdorf</t>
  </si>
  <si>
    <t>Muggensturm</t>
  </si>
  <si>
    <t>Bischweier</t>
  </si>
  <si>
    <t>Kuppenheim</t>
  </si>
  <si>
    <t>Freiolsheim</t>
  </si>
  <si>
    <t>Hörden</t>
  </si>
  <si>
    <t>Oberweier</t>
  </si>
  <si>
    <t>Selbach</t>
  </si>
  <si>
    <t>Loffenau</t>
  </si>
  <si>
    <t>Rauental</t>
  </si>
  <si>
    <t>Lichtental</t>
  </si>
  <si>
    <t>Baden-Baden</t>
  </si>
  <si>
    <t>Vimbuch</t>
  </si>
  <si>
    <t>Steinmauern</t>
  </si>
  <si>
    <t>Sandweier</t>
  </si>
  <si>
    <t>Neuweier</t>
  </si>
  <si>
    <t>Varnhalt</t>
  </si>
  <si>
    <t>Haueneberstein</t>
  </si>
  <si>
    <t>Ebersteinburg</t>
  </si>
  <si>
    <t>Balg</t>
  </si>
  <si>
    <t>Langenbrand</t>
  </si>
  <si>
    <t>Forbach</t>
  </si>
  <si>
    <t>Gausbach</t>
  </si>
  <si>
    <t>Bermersbach</t>
  </si>
  <si>
    <t>Bühlertal</t>
  </si>
  <si>
    <t>Unzhurst</t>
  </si>
  <si>
    <t>Ottersweier</t>
  </si>
  <si>
    <t>Oos</t>
  </si>
  <si>
    <t>Weitenung</t>
  </si>
  <si>
    <t>Empfingen</t>
  </si>
  <si>
    <t>Ihlingen</t>
  </si>
  <si>
    <t>Horb am Neckar</t>
  </si>
  <si>
    <t>Isenburg</t>
  </si>
  <si>
    <t>Mühringen</t>
  </si>
  <si>
    <t>Obertalheim</t>
  </si>
  <si>
    <t>Untertalheim</t>
  </si>
  <si>
    <t>Grünmettstetten</t>
  </si>
  <si>
    <t>Rexingen</t>
  </si>
  <si>
    <t>Dießen</t>
  </si>
  <si>
    <t>Dettlingen</t>
  </si>
  <si>
    <t>Dettensee</t>
  </si>
  <si>
    <t>Bildechingen</t>
  </si>
  <si>
    <t>Betra</t>
  </si>
  <si>
    <t>Wiesenstetten</t>
  </si>
  <si>
    <t>Ahldorf</t>
  </si>
  <si>
    <t>Ehlenbogen</t>
  </si>
  <si>
    <t>Alpirsbach</t>
  </si>
  <si>
    <t>Altheim</t>
  </si>
  <si>
    <t>Mühlen</t>
  </si>
  <si>
    <t>Dornstetten</t>
  </si>
  <si>
    <t>Tumlingen</t>
  </si>
  <si>
    <t>Waldachtal</t>
  </si>
  <si>
    <t>Aach</t>
  </si>
  <si>
    <t>Salzstetten</t>
  </si>
  <si>
    <t>Lützenhardt</t>
  </si>
  <si>
    <t>Hörschweiler</t>
  </si>
  <si>
    <t>Römlinsdorf</t>
  </si>
  <si>
    <t>Reutin</t>
  </si>
  <si>
    <t>Wälde</t>
  </si>
  <si>
    <t>Betzweiler-Wälde</t>
  </si>
  <si>
    <t>Peterzell</t>
  </si>
  <si>
    <t>Loßburg</t>
  </si>
  <si>
    <t>Horb</t>
  </si>
  <si>
    <t>Betzweiler</t>
  </si>
  <si>
    <t>Wittendorf</t>
  </si>
  <si>
    <t>Vierundzwanzig Höfe</t>
  </si>
  <si>
    <t>Sterneck</t>
  </si>
  <si>
    <t>Schömberg</t>
  </si>
  <si>
    <t>Lombach</t>
  </si>
  <si>
    <t>Reinerzau</t>
  </si>
  <si>
    <t>Erzgrube</t>
  </si>
  <si>
    <t>Seewald</t>
  </si>
  <si>
    <t>Schapbach</t>
  </si>
  <si>
    <t>Bad Rippoldsau-Schapbach</t>
  </si>
  <si>
    <t>Rippoldsau</t>
  </si>
  <si>
    <t>Wittlensweiler</t>
  </si>
  <si>
    <t>Freudenstadt</t>
  </si>
  <si>
    <t>Untermusbach</t>
  </si>
  <si>
    <t>Igelsberg</t>
  </si>
  <si>
    <t>Grüntal</t>
  </si>
  <si>
    <t>Dietersweiler</t>
  </si>
  <si>
    <t>Grömbach</t>
  </si>
  <si>
    <t>Göttelfingen</t>
  </si>
  <si>
    <t>Besenfeld</t>
  </si>
  <si>
    <t>Weitingen</t>
  </si>
  <si>
    <t>Eutingen im Gäu</t>
  </si>
  <si>
    <t>Nordstetten</t>
  </si>
  <si>
    <t>Schwarzenberg</t>
  </si>
  <si>
    <t>Baiersbronn</t>
  </si>
  <si>
    <t>Röt</t>
  </si>
  <si>
    <t>Huzenbach</t>
  </si>
  <si>
    <t>Klosterreichenbach</t>
  </si>
  <si>
    <t>Rohrdorf</t>
  </si>
  <si>
    <t>Glatten</t>
  </si>
  <si>
    <t>Neuneck</t>
  </si>
  <si>
    <t>Unteriflingen</t>
  </si>
  <si>
    <t>Eutingen</t>
  </si>
  <si>
    <t>Wörnersberg</t>
  </si>
  <si>
    <t>Goettelfingen</t>
  </si>
  <si>
    <t>Böffingen</t>
  </si>
  <si>
    <t>Cresbach</t>
  </si>
  <si>
    <t>Edelweiler</t>
  </si>
  <si>
    <t>Pfalzgrafenweiler</t>
  </si>
  <si>
    <t>Bösingen</t>
  </si>
  <si>
    <t>Hallwangen</t>
  </si>
  <si>
    <t>Kälberbronn</t>
  </si>
  <si>
    <t>Durrweiler</t>
  </si>
  <si>
    <t>Herzogsweiler</t>
  </si>
  <si>
    <t>Oberiflingen</t>
  </si>
  <si>
    <t>Bruchsal</t>
  </si>
  <si>
    <t>Neuthard</t>
  </si>
  <si>
    <t>Karlsdorf-Neuthard</t>
  </si>
  <si>
    <t>Forst</t>
  </si>
  <si>
    <t>Spöck</t>
  </si>
  <si>
    <t>Stutensee</t>
  </si>
  <si>
    <t>Hambrücken</t>
  </si>
  <si>
    <t>Blankenloch</t>
  </si>
  <si>
    <t>Untergrombach</t>
  </si>
  <si>
    <t>Staffort</t>
  </si>
  <si>
    <t>Friedrichstal</t>
  </si>
  <si>
    <t>Karlsdorf</t>
  </si>
  <si>
    <t>Büchenau</t>
  </si>
  <si>
    <t>Heidelsheim</t>
  </si>
  <si>
    <t>Münzesheim</t>
  </si>
  <si>
    <t>Kraichtal</t>
  </si>
  <si>
    <t>Obergrombach</t>
  </si>
  <si>
    <t>Bahnbrücken</t>
  </si>
  <si>
    <t>Gochsheim</t>
  </si>
  <si>
    <t>Landshausen</t>
  </si>
  <si>
    <t>Menzingen</t>
  </si>
  <si>
    <t>Oberöwisheim</t>
  </si>
  <si>
    <t>Leopoldshafen</t>
  </si>
  <si>
    <t>Eggenstein-Leopoldshafen</t>
  </si>
  <si>
    <t>Langenbrücken</t>
  </si>
  <si>
    <t>Bad Schönborn</t>
  </si>
  <si>
    <t>Oberacker</t>
  </si>
  <si>
    <t>Neuenbürg</t>
  </si>
  <si>
    <t>Helmsheim</t>
  </si>
  <si>
    <t>Odenheim</t>
  </si>
  <si>
    <t>Östringen</t>
  </si>
  <si>
    <t>Unteröwisheim</t>
  </si>
  <si>
    <t>Pfinztal</t>
  </si>
  <si>
    <t>Rheinhausen</t>
  </si>
  <si>
    <t>Oberhausen-Rheinhausen</t>
  </si>
  <si>
    <t>Oberhausen</t>
  </si>
  <si>
    <t>Philippsburg</t>
  </si>
  <si>
    <t>Huttenheim</t>
  </si>
  <si>
    <t>Rheinsheim</t>
  </si>
  <si>
    <t>Waghäusel</t>
  </si>
  <si>
    <t>Kirrlach</t>
  </si>
  <si>
    <t>Wiesental</t>
  </si>
  <si>
    <t>Kronau</t>
  </si>
  <si>
    <t>Eggenstein</t>
  </si>
  <si>
    <t>Stettfeld</t>
  </si>
  <si>
    <t>Ubstadt-Weiher</t>
  </si>
  <si>
    <t>Ubstadt</t>
  </si>
  <si>
    <t>Weiher</t>
  </si>
  <si>
    <t>Zeutern</t>
  </si>
  <si>
    <t>Liedolsheim</t>
  </si>
  <si>
    <t>Dettenheim</t>
  </si>
  <si>
    <t>Rußheim</t>
  </si>
  <si>
    <t>Graben</t>
  </si>
  <si>
    <t>Graben-Neudorf</t>
  </si>
  <si>
    <t>Neudorf</t>
  </si>
  <si>
    <t>Hochstetten</t>
  </si>
  <si>
    <t>Linkenheim-Hochstetten</t>
  </si>
  <si>
    <t>Linkenheim</t>
  </si>
  <si>
    <t>Mingolsheim</t>
  </si>
  <si>
    <t>Malsch</t>
  </si>
  <si>
    <t>Ettlingenweier</t>
  </si>
  <si>
    <t>Ettlingen</t>
  </si>
  <si>
    <t>Schluttenbach</t>
  </si>
  <si>
    <t>Schöllbronn</t>
  </si>
  <si>
    <t>Spessart</t>
  </si>
  <si>
    <t>Busenbach</t>
  </si>
  <si>
    <t>Waldbronn</t>
  </si>
  <si>
    <t>Etzenrot</t>
  </si>
  <si>
    <t>Auerbach</t>
  </si>
  <si>
    <t>Karlsbad</t>
  </si>
  <si>
    <t>Ittersbach</t>
  </si>
  <si>
    <t>Bruchhausen</t>
  </si>
  <si>
    <t>Mutschelbach</t>
  </si>
  <si>
    <t>Völkersbach</t>
  </si>
  <si>
    <t>Waldprechtsweier</t>
  </si>
  <si>
    <t>Burbach</t>
  </si>
  <si>
    <t>Marxzell</t>
  </si>
  <si>
    <t>Pfaffenrot</t>
  </si>
  <si>
    <t>Schielberg</t>
  </si>
  <si>
    <t>Karlsruhe</t>
  </si>
  <si>
    <t>Durlach</t>
  </si>
  <si>
    <t>Berghausen</t>
  </si>
  <si>
    <t>Langensteinbach</t>
  </si>
  <si>
    <t>Dürrenbüchig</t>
  </si>
  <si>
    <t>Bretten</t>
  </si>
  <si>
    <t>Kürnbach</t>
  </si>
  <si>
    <t>Oberderdingen</t>
  </si>
  <si>
    <t>Flehingen</t>
  </si>
  <si>
    <t>Bauerbach</t>
  </si>
  <si>
    <t>Diedelsheim</t>
  </si>
  <si>
    <t>Gölshausen</t>
  </si>
  <si>
    <t>Neibsheim</t>
  </si>
  <si>
    <t>Sulzfeld</t>
  </si>
  <si>
    <t>Rinklingen</t>
  </si>
  <si>
    <t>Forchheim</t>
  </si>
  <si>
    <t>Rheinstetten</t>
  </si>
  <si>
    <t>Neuburgweier</t>
  </si>
  <si>
    <t>Büchig</t>
  </si>
  <si>
    <t>Mörsch</t>
  </si>
  <si>
    <t>Wöschbach</t>
  </si>
  <si>
    <t>Kleinsteinbach</t>
  </si>
  <si>
    <t>Wössingen</t>
  </si>
  <si>
    <t>Walzbachtal</t>
  </si>
  <si>
    <t>Weingarten</t>
  </si>
  <si>
    <t>Weingarten (Baden)</t>
  </si>
  <si>
    <t>Gondelsheim</t>
  </si>
  <si>
    <t>Sprantal</t>
  </si>
  <si>
    <t>Jöhlingen</t>
  </si>
  <si>
    <t>Ursenbach</t>
  </si>
  <si>
    <t>Schriesheim</t>
  </si>
  <si>
    <t>Edingen</t>
  </si>
  <si>
    <t>Edingen-Neckarhausen</t>
  </si>
  <si>
    <t>Dossenheim</t>
  </si>
  <si>
    <t>Heiligkreuzsteinach</t>
  </si>
  <si>
    <t>Lampenhain</t>
  </si>
  <si>
    <t>Schönau</t>
  </si>
  <si>
    <t>Wilhelmsfeld</t>
  </si>
  <si>
    <t>Altneudorf</t>
  </si>
  <si>
    <t>Weinheim</t>
  </si>
  <si>
    <t>Altenbach</t>
  </si>
  <si>
    <t>Heddesbach</t>
  </si>
  <si>
    <t>Ladenburg</t>
  </si>
  <si>
    <t>Ilvesheim</t>
  </si>
  <si>
    <t>Leutershausen</t>
  </si>
  <si>
    <t>Hirschberg an der Bergst</t>
  </si>
  <si>
    <t>Großsachsen</t>
  </si>
  <si>
    <t>Heddesheim</t>
  </si>
  <si>
    <t>Ritschweier</t>
  </si>
  <si>
    <t>Rippenweier</t>
  </si>
  <si>
    <t>Oberflockenbach</t>
  </si>
  <si>
    <t>Hohensachsen</t>
  </si>
  <si>
    <t>Lobenfeld</t>
  </si>
  <si>
    <t>Lobbach</t>
  </si>
  <si>
    <t>Lützelsachsen</t>
  </si>
  <si>
    <t>St. Ilgen</t>
  </si>
  <si>
    <t>Leimen</t>
  </si>
  <si>
    <t>Nußloch</t>
  </si>
  <si>
    <t>Reilingen</t>
  </si>
  <si>
    <t>Hemsbach</t>
  </si>
  <si>
    <t>Oftersheim</t>
  </si>
  <si>
    <t>Ketsch</t>
  </si>
  <si>
    <t>Brühl</t>
  </si>
  <si>
    <t>Schwetzingen</t>
  </si>
  <si>
    <t>Plankstadt</t>
  </si>
  <si>
    <t>Eppelheim</t>
  </si>
  <si>
    <t>Sandhausen</t>
  </si>
  <si>
    <t>Bammental</t>
  </si>
  <si>
    <t>Brombach</t>
  </si>
  <si>
    <t>Waldhilsbach</t>
  </si>
  <si>
    <t>Neckargemünd</t>
  </si>
  <si>
    <t>Mückenloch</t>
  </si>
  <si>
    <t>Dilsberg</t>
  </si>
  <si>
    <t>Schwanheim</t>
  </si>
  <si>
    <t>Schönbrunn</t>
  </si>
  <si>
    <t>Moosbrunn</t>
  </si>
  <si>
    <t>Haag</t>
  </si>
  <si>
    <t>Rockenau</t>
  </si>
  <si>
    <t>Pleutersbach</t>
  </si>
  <si>
    <t>Friedrichsdorf</t>
  </si>
  <si>
    <t>Gaiberg</t>
  </si>
  <si>
    <t>Hilsbach</t>
  </si>
  <si>
    <t>Sinsheim</t>
  </si>
  <si>
    <t>Altlußheim</t>
  </si>
  <si>
    <t>Rotenberg</t>
  </si>
  <si>
    <t>Rettigheim</t>
  </si>
  <si>
    <t>Tairnbach</t>
  </si>
  <si>
    <t>Zuzenhausen</t>
  </si>
  <si>
    <t>Adersbach</t>
  </si>
  <si>
    <t>Dühren</t>
  </si>
  <si>
    <t>Ehrstädt</t>
  </si>
  <si>
    <t>Hasselbach</t>
  </si>
  <si>
    <t>St. Leon</t>
  </si>
  <si>
    <t>St. Leon-Rot</t>
  </si>
  <si>
    <t>Hoffenheim</t>
  </si>
  <si>
    <t>Reihen</t>
  </si>
  <si>
    <t>Steinsfurt</t>
  </si>
  <si>
    <t>Waldangelloch</t>
  </si>
  <si>
    <t>Eichtersheim</t>
  </si>
  <si>
    <t>Angelbachtal</t>
  </si>
  <si>
    <t>Mannheim</t>
  </si>
  <si>
    <t>Heidelberg</t>
  </si>
  <si>
    <t>Gauangelloch</t>
  </si>
  <si>
    <t>Neckarbischofsheim</t>
  </si>
  <si>
    <t>Waldwimmersbach</t>
  </si>
  <si>
    <t>Spechbach</t>
  </si>
  <si>
    <t>Mauer</t>
  </si>
  <si>
    <t>Meckesheim</t>
  </si>
  <si>
    <t>Mönchzell</t>
  </si>
  <si>
    <t>Eschelbronn</t>
  </si>
  <si>
    <t>Reichartshausen</t>
  </si>
  <si>
    <t>Epfenbach</t>
  </si>
  <si>
    <t>Neidenstein</t>
  </si>
  <si>
    <t>Bargen</t>
  </si>
  <si>
    <t>Helmstadt-Bargen</t>
  </si>
  <si>
    <t>Malschenberg</t>
  </si>
  <si>
    <t>Helmstadt</t>
  </si>
  <si>
    <t>Untergimpern</t>
  </si>
  <si>
    <t>Waibstadt</t>
  </si>
  <si>
    <t>Daisbach</t>
  </si>
  <si>
    <t>Wiesloch</t>
  </si>
  <si>
    <t>Baiertal</t>
  </si>
  <si>
    <t>Schatthausen</t>
  </si>
  <si>
    <t>Dielheim</t>
  </si>
  <si>
    <t>Horrenberg</t>
  </si>
  <si>
    <t>Walldorf</t>
  </si>
  <si>
    <t>Hockenheim</t>
  </si>
  <si>
    <t>Neulußheim</t>
  </si>
  <si>
    <t>Flinsbach</t>
  </si>
  <si>
    <t>Seckach</t>
  </si>
  <si>
    <t>Oberdielbach</t>
  </si>
  <si>
    <t>Waldbrunn</t>
  </si>
  <si>
    <t>Kälbertshausen</t>
  </si>
  <si>
    <t>Hüffenhardt</t>
  </si>
  <si>
    <t>Aglasterhausen</t>
  </si>
  <si>
    <t>Unterschwarzach</t>
  </si>
  <si>
    <t>Oberschwarzach</t>
  </si>
  <si>
    <t>Neckarkatzenbach</t>
  </si>
  <si>
    <t>Binau</t>
  </si>
  <si>
    <t>Guttenbach</t>
  </si>
  <si>
    <t>Neckargerach</t>
  </si>
  <si>
    <t>Zwingenberg</t>
  </si>
  <si>
    <t>Weisbach</t>
  </si>
  <si>
    <t>Waldkatzenbach</t>
  </si>
  <si>
    <t>Daudenzell</t>
  </si>
  <si>
    <t>Schollbrunn</t>
  </si>
  <si>
    <t>Mülben</t>
  </si>
  <si>
    <t>Trienz</t>
  </si>
  <si>
    <t>Fahrenbach</t>
  </si>
  <si>
    <t>Robern</t>
  </si>
  <si>
    <t>Wagenschwend</t>
  </si>
  <si>
    <t>Limbach</t>
  </si>
  <si>
    <t>Laudenberg</t>
  </si>
  <si>
    <t>Heidersbach</t>
  </si>
  <si>
    <t>Balsbach</t>
  </si>
  <si>
    <t>Sennfeld</t>
  </si>
  <si>
    <t>Adelsheim</t>
  </si>
  <si>
    <t>Leibenstadt</t>
  </si>
  <si>
    <t>Strümpfelbrunn</t>
  </si>
  <si>
    <t>Neckarburken</t>
  </si>
  <si>
    <t>Elztal</t>
  </si>
  <si>
    <t>Neckarmühlbach</t>
  </si>
  <si>
    <t>Haßmersheim</t>
  </si>
  <si>
    <t>Neckarzimmern</t>
  </si>
  <si>
    <t>Mörtelstein</t>
  </si>
  <si>
    <t>Obrigheim</t>
  </si>
  <si>
    <t>Asbach</t>
  </si>
  <si>
    <t>Sattelbach</t>
  </si>
  <si>
    <t>Mosbach</t>
  </si>
  <si>
    <t>Reichenbuch</t>
  </si>
  <si>
    <t>Neckarelz</t>
  </si>
  <si>
    <t>Lohrbach</t>
  </si>
  <si>
    <t>Diedesheim</t>
  </si>
  <si>
    <t>Breitenbronn</t>
  </si>
  <si>
    <t>Rittersbach</t>
  </si>
  <si>
    <t>Unterwittstadt</t>
  </si>
  <si>
    <t>Ravenstein</t>
  </si>
  <si>
    <t>Muckental</t>
  </si>
  <si>
    <t>Dallau</t>
  </si>
  <si>
    <t>Waldmühlbach</t>
  </si>
  <si>
    <t>Billigheim</t>
  </si>
  <si>
    <t>Katzental</t>
  </si>
  <si>
    <t>Allfeld</t>
  </si>
  <si>
    <t>Unterschefflenz</t>
  </si>
  <si>
    <t>Schefflenz</t>
  </si>
  <si>
    <t>Oberschefflenz</t>
  </si>
  <si>
    <t>Mittelschefflenz</t>
  </si>
  <si>
    <t>Kleineicholzheim</t>
  </si>
  <si>
    <t>Gerolzahn</t>
  </si>
  <si>
    <t>Walldürn</t>
  </si>
  <si>
    <t>Scheidental</t>
  </si>
  <si>
    <t>Mudau</t>
  </si>
  <si>
    <t>Rumpfen</t>
  </si>
  <si>
    <t>Reisenbach</t>
  </si>
  <si>
    <t>Mörschenhardt</t>
  </si>
  <si>
    <t>Langenelz</t>
  </si>
  <si>
    <t>Donebach</t>
  </si>
  <si>
    <t>Wettersdorf</t>
  </si>
  <si>
    <t>Rippberg</t>
  </si>
  <si>
    <t>Reinhardsachsen</t>
  </si>
  <si>
    <t>Kaltenbrunn</t>
  </si>
  <si>
    <t>Hornbach</t>
  </si>
  <si>
    <t>Glashofen</t>
  </si>
  <si>
    <t>Buchen</t>
  </si>
  <si>
    <t>Buchen (Odenwald)</t>
  </si>
  <si>
    <t>Höpfingen</t>
  </si>
  <si>
    <t>Vollmersdorf</t>
  </si>
  <si>
    <t>Hardheim</t>
  </si>
  <si>
    <t>Schweinberg</t>
  </si>
  <si>
    <t>Rütschdorf</t>
  </si>
  <si>
    <t>Gerichtstetten</t>
  </si>
  <si>
    <t>Erfeld</t>
  </si>
  <si>
    <t>Dornberg</t>
  </si>
  <si>
    <t>Bretzingen</t>
  </si>
  <si>
    <t>Gottersdorf</t>
  </si>
  <si>
    <t>Scheringen</t>
  </si>
  <si>
    <t>Oberwittstadt</t>
  </si>
  <si>
    <t>Merchingen</t>
  </si>
  <si>
    <t>Hüngheim</t>
  </si>
  <si>
    <t>Ballenberg</t>
  </si>
  <si>
    <t>Schlierstadt</t>
  </si>
  <si>
    <t>Osterburken</t>
  </si>
  <si>
    <t>Bofsheim</t>
  </si>
  <si>
    <t>Sindolsheim</t>
  </si>
  <si>
    <t>Schloßau</t>
  </si>
  <si>
    <t>Unterneudorf</t>
  </si>
  <si>
    <t>Stürzenhardt</t>
  </si>
  <si>
    <t>Rinschheim</t>
  </si>
  <si>
    <t>Oberneudorf</t>
  </si>
  <si>
    <t>Hollerbach</t>
  </si>
  <si>
    <t>Hettingen</t>
  </si>
  <si>
    <t>Hettigenbeuern</t>
  </si>
  <si>
    <t>Hainstadt</t>
  </si>
  <si>
    <t>Götzingen</t>
  </si>
  <si>
    <t>Einbach</t>
  </si>
  <si>
    <t>Bödigheim</t>
  </si>
  <si>
    <t>Großeicholzheim</t>
  </si>
  <si>
    <t>Bronnacker</t>
  </si>
  <si>
    <t>Krumbach</t>
  </si>
  <si>
    <t>Niefern-Öschelbronn</t>
  </si>
  <si>
    <t>Huchenfeld</t>
  </si>
  <si>
    <t>Pforzheim</t>
  </si>
  <si>
    <t>Würm</t>
  </si>
  <si>
    <t>Ellmendingen</t>
  </si>
  <si>
    <t>Keltern</t>
  </si>
  <si>
    <t>Dietlingen</t>
  </si>
  <si>
    <t>Dietenhausen</t>
  </si>
  <si>
    <t>Heimsheim</t>
  </si>
  <si>
    <t>Friolzheim</t>
  </si>
  <si>
    <t>Wimsheim</t>
  </si>
  <si>
    <t>Mönsheim</t>
  </si>
  <si>
    <t>Wiernsheim</t>
  </si>
  <si>
    <t>Büchenbronn</t>
  </si>
  <si>
    <t>Niefern</t>
  </si>
  <si>
    <t>Ispringen</t>
  </si>
  <si>
    <t>Wilferdingen</t>
  </si>
  <si>
    <t>Remchingen</t>
  </si>
  <si>
    <t>Singen</t>
  </si>
  <si>
    <t>Ersingen</t>
  </si>
  <si>
    <t>Kämpfelbach</t>
  </si>
  <si>
    <t>Eisingen</t>
  </si>
  <si>
    <t>Königsbach-Stein</t>
  </si>
  <si>
    <t>Königsbach</t>
  </si>
  <si>
    <t>Kieselbronn</t>
  </si>
  <si>
    <t>Nußbaum</t>
  </si>
  <si>
    <t>Neulingen</t>
  </si>
  <si>
    <t>Göbrichen</t>
  </si>
  <si>
    <t>Wurmberg</t>
  </si>
  <si>
    <t>Waldrennach</t>
  </si>
  <si>
    <t>Niebelsbach</t>
  </si>
  <si>
    <t>Birkenfeld</t>
  </si>
  <si>
    <t>Gräfenhausen</t>
  </si>
  <si>
    <t>Conweiler</t>
  </si>
  <si>
    <t>Straubenhardt</t>
  </si>
  <si>
    <t>Feldrennach</t>
  </si>
  <si>
    <t>Langenalb</t>
  </si>
  <si>
    <t>Ottenhausen</t>
  </si>
  <si>
    <t>Schwann</t>
  </si>
  <si>
    <t>Hohenwart</t>
  </si>
  <si>
    <t>Dennach</t>
  </si>
  <si>
    <t>Bilfingen</t>
  </si>
  <si>
    <t>Engelsbrand</t>
  </si>
  <si>
    <t>Salmbach</t>
  </si>
  <si>
    <t>Tiefenbronn</t>
  </si>
  <si>
    <t>Lehningen</t>
  </si>
  <si>
    <t>Muehlhausen/Tiefenbronn</t>
  </si>
  <si>
    <t>Hamberg</t>
  </si>
  <si>
    <t>Schellbronn</t>
  </si>
  <si>
    <t>Steinegg</t>
  </si>
  <si>
    <t>Arnbach</t>
  </si>
  <si>
    <t>Mühlacker</t>
  </si>
  <si>
    <t>Nöttingen</t>
  </si>
  <si>
    <t>Bauschlott</t>
  </si>
  <si>
    <t>Dürrn</t>
  </si>
  <si>
    <t>Ölbronn-Dürrn</t>
  </si>
  <si>
    <t>Lomersheim</t>
  </si>
  <si>
    <t>Lienzingen</t>
  </si>
  <si>
    <t>Großglattbach</t>
  </si>
  <si>
    <t>Enzberg</t>
  </si>
  <si>
    <t>Ötisheim</t>
  </si>
  <si>
    <t>Schützingen</t>
  </si>
  <si>
    <t>Kleinvillars</t>
  </si>
  <si>
    <t>Knittlingen</t>
  </si>
  <si>
    <t>Ölbronn</t>
  </si>
  <si>
    <t>Freudenstein</t>
  </si>
  <si>
    <t>Sternenfels</t>
  </si>
  <si>
    <t>Diefenbach</t>
  </si>
  <si>
    <t>Maulbronn</t>
  </si>
  <si>
    <t>Schmie</t>
  </si>
  <si>
    <t>Zaisersweiher</t>
  </si>
  <si>
    <t>Bad Herrenalb</t>
  </si>
  <si>
    <t>Oberlengenhardt</t>
  </si>
  <si>
    <t>Herrenalb</t>
  </si>
  <si>
    <t>Bernbach</t>
  </si>
  <si>
    <t>Bieselsberg</t>
  </si>
  <si>
    <t>Rotensol</t>
  </si>
  <si>
    <t>Dobel</t>
  </si>
  <si>
    <t>Höfen an der Enz</t>
  </si>
  <si>
    <t>Simmersfeld</t>
  </si>
  <si>
    <t>Igelsloch</t>
  </si>
  <si>
    <t>Oberreichenbach</t>
  </si>
  <si>
    <t>Enzklösterle</t>
  </si>
  <si>
    <t>Unterlengenhardt</t>
  </si>
  <si>
    <t>Bad Liebenzell</t>
  </si>
  <si>
    <t>Mindersbach</t>
  </si>
  <si>
    <t>Nagold</t>
  </si>
  <si>
    <t>Wildbad im Schwarzwald</t>
  </si>
  <si>
    <t>Oberkollbach</t>
  </si>
  <si>
    <t>Unterschwandorf</t>
  </si>
  <si>
    <t>Haiterbach</t>
  </si>
  <si>
    <t>Oberschwandorf</t>
  </si>
  <si>
    <t>Vollmaringen</t>
  </si>
  <si>
    <t>Schietingen</t>
  </si>
  <si>
    <t>Pfrondorf</t>
  </si>
  <si>
    <t>Gündringen</t>
  </si>
  <si>
    <t>Unterhaugstett</t>
  </si>
  <si>
    <t>Unterreichenbach</t>
  </si>
  <si>
    <t>Kapfenhardt</t>
  </si>
  <si>
    <t>Liebenzell</t>
  </si>
  <si>
    <t>Beinberg</t>
  </si>
  <si>
    <t>Maisenbach</t>
  </si>
  <si>
    <t>Möttlingen</t>
  </si>
  <si>
    <t>Monakam</t>
  </si>
  <si>
    <t>Calmbach</t>
  </si>
  <si>
    <t>Gaugenwald</t>
  </si>
  <si>
    <t>Althengstett</t>
  </si>
  <si>
    <t>Neuhengstett</t>
  </si>
  <si>
    <t>Ottenbronn</t>
  </si>
  <si>
    <t>Würzbach</t>
  </si>
  <si>
    <t>Gechingen</t>
  </si>
  <si>
    <t>Wildbad</t>
  </si>
  <si>
    <t>Rötenbach</t>
  </si>
  <si>
    <t>Bad Teinach-Zavelstein</t>
  </si>
  <si>
    <t>Schmieh</t>
  </si>
  <si>
    <t>Sommenhardt</t>
  </si>
  <si>
    <t>Teinach</t>
  </si>
  <si>
    <t>Zavelstein</t>
  </si>
  <si>
    <t>Simmozheim</t>
  </si>
  <si>
    <t>Breitenberg</t>
  </si>
  <si>
    <t>Ostelsheim</t>
  </si>
  <si>
    <t>Oberkollwangen</t>
  </si>
  <si>
    <t>Zwerenberg</t>
  </si>
  <si>
    <t>Neubulach</t>
  </si>
  <si>
    <t>Altbulach</t>
  </si>
  <si>
    <t>Liebelsberg</t>
  </si>
  <si>
    <t>Martinsmoos</t>
  </si>
  <si>
    <t>Oberhaugstett</t>
  </si>
  <si>
    <t>Wildberg</t>
  </si>
  <si>
    <t>Effringen</t>
  </si>
  <si>
    <t>Gültlingen</t>
  </si>
  <si>
    <t>Schönbronn</t>
  </si>
  <si>
    <t>Sulz</t>
  </si>
  <si>
    <t>Agenbach</t>
  </si>
  <si>
    <t>Ebershardt</t>
  </si>
  <si>
    <t>Ebhausen</t>
  </si>
  <si>
    <t>Calw</t>
  </si>
  <si>
    <t>Altburg</t>
  </si>
  <si>
    <t>Hirsau</t>
  </si>
  <si>
    <t>Holzbronn</t>
  </si>
  <si>
    <t>Emmingen</t>
  </si>
  <si>
    <t>Emberg</t>
  </si>
  <si>
    <t>Rotfelden</t>
  </si>
  <si>
    <t>Egenhausen</t>
  </si>
  <si>
    <t>Wart</t>
  </si>
  <si>
    <t>Altensteig</t>
  </si>
  <si>
    <t>Ettmannsweiler</t>
  </si>
  <si>
    <t>Wenden</t>
  </si>
  <si>
    <t>Walddorf</t>
  </si>
  <si>
    <t>Fünfbronn</t>
  </si>
  <si>
    <t>Altensteigdorf</t>
  </si>
  <si>
    <t>Berneck</t>
  </si>
  <si>
    <t>Garrweiler</t>
  </si>
  <si>
    <t>Überberg</t>
  </si>
  <si>
    <t>Aichhalden</t>
  </si>
  <si>
    <t>Riedböhringen</t>
  </si>
  <si>
    <t>Blumberg</t>
  </si>
  <si>
    <t>Sumpfohren</t>
  </si>
  <si>
    <t>Hüfingen</t>
  </si>
  <si>
    <t>Achdorf</t>
  </si>
  <si>
    <t>Epfenhofen</t>
  </si>
  <si>
    <t>Fützen</t>
  </si>
  <si>
    <t>Hondingen</t>
  </si>
  <si>
    <t>Nordhalden</t>
  </si>
  <si>
    <t>Biesingen</t>
  </si>
  <si>
    <t>Bad Dürrheim</t>
  </si>
  <si>
    <t>Riedöschingen</t>
  </si>
  <si>
    <t>Mundelfingen</t>
  </si>
  <si>
    <t>Kommingen</t>
  </si>
  <si>
    <t>Villingen-Schwenningen</t>
  </si>
  <si>
    <t>Weilersbach</t>
  </si>
  <si>
    <t>Kappel</t>
  </si>
  <si>
    <t>Niedereschach</t>
  </si>
  <si>
    <t>Schabenhausen</t>
  </si>
  <si>
    <t>Mönchweiler</t>
  </si>
  <si>
    <t>Dauchingen</t>
  </si>
  <si>
    <t>Unterkirnach</t>
  </si>
  <si>
    <t>Stockburg</t>
  </si>
  <si>
    <t>St. Georgen im Schwarzwa</t>
  </si>
  <si>
    <t>Obereschach</t>
  </si>
  <si>
    <t>Pfaffenweiler</t>
  </si>
  <si>
    <t>Rietheim</t>
  </si>
  <si>
    <t>Schwenningen</t>
  </si>
  <si>
    <t>Tannheim</t>
  </si>
  <si>
    <t>Villingen</t>
  </si>
  <si>
    <t>Weigheim</t>
  </si>
  <si>
    <t>Herzogenweiler</t>
  </si>
  <si>
    <t>Erdmannsweiler</t>
  </si>
  <si>
    <t>Königsfeld im Schwarzwal</t>
  </si>
  <si>
    <t>Schonach</t>
  </si>
  <si>
    <t>Schonach im Schwarzwald</t>
  </si>
  <si>
    <t>Triberg</t>
  </si>
  <si>
    <t>Triberg im Schwarzwald</t>
  </si>
  <si>
    <t>Gremmelsbach</t>
  </si>
  <si>
    <t>Oberbaldingen</t>
  </si>
  <si>
    <t>Schönwald</t>
  </si>
  <si>
    <t>Schönwald im Schwarzwald</t>
  </si>
  <si>
    <t>Fischbach</t>
  </si>
  <si>
    <t>Königsfeld</t>
  </si>
  <si>
    <t>St. Georgen</t>
  </si>
  <si>
    <t>Brigach</t>
  </si>
  <si>
    <t>Langenschiltach</t>
  </si>
  <si>
    <t>Oberkirnach</t>
  </si>
  <si>
    <t>Buchenberg</t>
  </si>
  <si>
    <t>Bräunlingen</t>
  </si>
  <si>
    <t>Donaueschingen</t>
  </si>
  <si>
    <t>Aasen</t>
  </si>
  <si>
    <t>Grüningen</t>
  </si>
  <si>
    <t>Heidenhofen</t>
  </si>
  <si>
    <t>Hubertshofen</t>
  </si>
  <si>
    <t>Neudingen</t>
  </si>
  <si>
    <t>Unterbaldingen</t>
  </si>
  <si>
    <t>Wolterdingen</t>
  </si>
  <si>
    <t>Döggingen</t>
  </si>
  <si>
    <t>Mistelbrunn</t>
  </si>
  <si>
    <t>Unterbränd</t>
  </si>
  <si>
    <t>Fürstenberg</t>
  </si>
  <si>
    <t>Tuningen</t>
  </si>
  <si>
    <t>Nußbach</t>
  </si>
  <si>
    <t>Pfohren</t>
  </si>
  <si>
    <t>Gütenbach</t>
  </si>
  <si>
    <t>Klengen</t>
  </si>
  <si>
    <t>Brigachtal</t>
  </si>
  <si>
    <t>Behla</t>
  </si>
  <si>
    <t>Sunthausen</t>
  </si>
  <si>
    <t>Kirchdorf</t>
  </si>
  <si>
    <t>Überauchen</t>
  </si>
  <si>
    <t>Furtwangen</t>
  </si>
  <si>
    <t>Furtwangen im Schwarzwal</t>
  </si>
  <si>
    <t>Linach</t>
  </si>
  <si>
    <t>Neukirch</t>
  </si>
  <si>
    <t>Vöhrenbach</t>
  </si>
  <si>
    <t>Hammereisenbach-Bregenb</t>
  </si>
  <si>
    <t>Langenbach</t>
  </si>
  <si>
    <t>Öfingen</t>
  </si>
  <si>
    <t>Urach</t>
  </si>
  <si>
    <t>Dürrheim</t>
  </si>
  <si>
    <t>Schönenbach</t>
  </si>
  <si>
    <t>Hochemmingen</t>
  </si>
  <si>
    <t>Sexau</t>
  </si>
  <si>
    <t>Gutach</t>
  </si>
  <si>
    <t>Gutach im Breisgau</t>
  </si>
  <si>
    <t>Oberwinden</t>
  </si>
  <si>
    <t>Winden im Elztal</t>
  </si>
  <si>
    <t>Niederwinden</t>
  </si>
  <si>
    <t>Yach</t>
  </si>
  <si>
    <t>Elzach</t>
  </si>
  <si>
    <t>Prechtal</t>
  </si>
  <si>
    <t>Katzenmoos</t>
  </si>
  <si>
    <t>Kollmarsreute</t>
  </si>
  <si>
    <t>Emmendingen</t>
  </si>
  <si>
    <t>Mundingen</t>
  </si>
  <si>
    <t>Biederbach</t>
  </si>
  <si>
    <t>Windenreute</t>
  </si>
  <si>
    <t>Wasser</t>
  </si>
  <si>
    <t>Buchholz</t>
  </si>
  <si>
    <t>Waldkirch</t>
  </si>
  <si>
    <t>Maleck</t>
  </si>
  <si>
    <t>Kollnau</t>
  </si>
  <si>
    <t>Vörstetten</t>
  </si>
  <si>
    <t>Nordweil</t>
  </si>
  <si>
    <t>Kenzingen</t>
  </si>
  <si>
    <t>Denzlingen</t>
  </si>
  <si>
    <t>Reute</t>
  </si>
  <si>
    <t>Wildgutach</t>
  </si>
  <si>
    <t>Simonswald</t>
  </si>
  <si>
    <t>Siensbach</t>
  </si>
  <si>
    <t>Bleibach</t>
  </si>
  <si>
    <t>Untersimonswald</t>
  </si>
  <si>
    <t>Obersimonswald</t>
  </si>
  <si>
    <t>Haslachsimonswald</t>
  </si>
  <si>
    <t>Altsimonswald</t>
  </si>
  <si>
    <t>Siegelau</t>
  </si>
  <si>
    <t>Suggental</t>
  </si>
  <si>
    <t>Sasbach</t>
  </si>
  <si>
    <t>Rheinau</t>
  </si>
  <si>
    <t>Rheinau /F (Gemeindefrei</t>
  </si>
  <si>
    <t>Niederhausen</t>
  </si>
  <si>
    <t>Bleichheim</t>
  </si>
  <si>
    <t>Broggingen</t>
  </si>
  <si>
    <t>Tutschfelden</t>
  </si>
  <si>
    <t>Wagenstadt</t>
  </si>
  <si>
    <t>Weisweil</t>
  </si>
  <si>
    <t>Bombach</t>
  </si>
  <si>
    <t>Hecklingen</t>
  </si>
  <si>
    <t>Wyhl</t>
  </si>
  <si>
    <t>Balingen</t>
  </si>
  <si>
    <t>Köndringen</t>
  </si>
  <si>
    <t>Teningen</t>
  </si>
  <si>
    <t>Heimbach</t>
  </si>
  <si>
    <t>Malterdingen</t>
  </si>
  <si>
    <t>Riegel</t>
  </si>
  <si>
    <t>Freiamt</t>
  </si>
  <si>
    <t>Nimburg</t>
  </si>
  <si>
    <t>Königschaffhausen</t>
  </si>
  <si>
    <t>Endingen</t>
  </si>
  <si>
    <t>Kiechlinsbergen</t>
  </si>
  <si>
    <t>Amoltern</t>
  </si>
  <si>
    <t>Leiselheim</t>
  </si>
  <si>
    <t>Jechtingen</t>
  </si>
  <si>
    <t>Ottoschwanden</t>
  </si>
  <si>
    <t>Auggen</t>
  </si>
  <si>
    <t>Unteribental</t>
  </si>
  <si>
    <t>Langenordnach</t>
  </si>
  <si>
    <t>Titisee-Neustadt</t>
  </si>
  <si>
    <t>Schollach</t>
  </si>
  <si>
    <t>Eisenbach</t>
  </si>
  <si>
    <t>Oberbränd</t>
  </si>
  <si>
    <t>Bubenbach</t>
  </si>
  <si>
    <t>Zastler</t>
  </si>
  <si>
    <t>Oberried</t>
  </si>
  <si>
    <t>Hofsgrund</t>
  </si>
  <si>
    <t>St. Wilhelm</t>
  </si>
  <si>
    <t>Sölden</t>
  </si>
  <si>
    <t>Wagensteig</t>
  </si>
  <si>
    <t>Schwärzenbach</t>
  </si>
  <si>
    <t>Falkensteig</t>
  </si>
  <si>
    <t>Zarten</t>
  </si>
  <si>
    <t>Kirchzarten</t>
  </si>
  <si>
    <t>Grißheim</t>
  </si>
  <si>
    <t>Neuenburg am Rhein</t>
  </si>
  <si>
    <t>Wittental</t>
  </si>
  <si>
    <t>Stegen</t>
  </si>
  <si>
    <t>Eschbach/Stegen</t>
  </si>
  <si>
    <t>Feldkirch</t>
  </si>
  <si>
    <t>Hartheim</t>
  </si>
  <si>
    <t>Lehen</t>
  </si>
  <si>
    <t>Freiburg im Breisgau</t>
  </si>
  <si>
    <t>Bremgarten</t>
  </si>
  <si>
    <t>Tunsel</t>
  </si>
  <si>
    <t>Bad Krozingen</t>
  </si>
  <si>
    <t>Schlatt</t>
  </si>
  <si>
    <t>Biengen</t>
  </si>
  <si>
    <t>Krozingen</t>
  </si>
  <si>
    <t>Scherzingen</t>
  </si>
  <si>
    <t>Ehrenkirchen</t>
  </si>
  <si>
    <t>Norsingen</t>
  </si>
  <si>
    <t>Rudenberg</t>
  </si>
  <si>
    <t>Kirchhofen</t>
  </si>
  <si>
    <t>Ehrenstetten</t>
  </si>
  <si>
    <t>St. Ulrich</t>
  </si>
  <si>
    <t>Bollschweil</t>
  </si>
  <si>
    <t>Hinterzarten</t>
  </si>
  <si>
    <t>Breitnau</t>
  </si>
  <si>
    <t>Waldau</t>
  </si>
  <si>
    <t>Titisee</t>
  </si>
  <si>
    <t>Wittnau</t>
  </si>
  <si>
    <t>Offnadingen</t>
  </si>
  <si>
    <t>March</t>
  </si>
  <si>
    <t>Bickensohl</t>
  </si>
  <si>
    <t>Vogtsburg im Kaiserstuhl</t>
  </si>
  <si>
    <t>Bischoffingen</t>
  </si>
  <si>
    <t>Burkheim</t>
  </si>
  <si>
    <t>Oberbergen</t>
  </si>
  <si>
    <t>Oberrotweil</t>
  </si>
  <si>
    <t>Schelingen</t>
  </si>
  <si>
    <t>Eichstetten</t>
  </si>
  <si>
    <t>Bötzingen</t>
  </si>
  <si>
    <t>Horben</t>
  </si>
  <si>
    <t>Buchheim</t>
  </si>
  <si>
    <t>Opfingen</t>
  </si>
  <si>
    <t>Hugstetten</t>
  </si>
  <si>
    <t>Neuershausen</t>
  </si>
  <si>
    <t>Umkirch</t>
  </si>
  <si>
    <t>Ihringen</t>
  </si>
  <si>
    <t>Wasenweiler</t>
  </si>
  <si>
    <t>Breisach</t>
  </si>
  <si>
    <t>Breisach am Rhein</t>
  </si>
  <si>
    <t>Gündlingen</t>
  </si>
  <si>
    <t>Niederrimsingen</t>
  </si>
  <si>
    <t>Gottenheim</t>
  </si>
  <si>
    <t>Ohrensbach</t>
  </si>
  <si>
    <t>Glottertal</t>
  </si>
  <si>
    <t>Merzhausen</t>
  </si>
  <si>
    <t>Ebringen</t>
  </si>
  <si>
    <t>Wolfenweiler</t>
  </si>
  <si>
    <t>Schallstadt</t>
  </si>
  <si>
    <t>Mengen</t>
  </si>
  <si>
    <t>St. Märgen</t>
  </si>
  <si>
    <t>Achkarren</t>
  </si>
  <si>
    <t>Unterglottertal</t>
  </si>
  <si>
    <t>Munzingen</t>
  </si>
  <si>
    <t>Oberglottertal</t>
  </si>
  <si>
    <t>Föhrental</t>
  </si>
  <si>
    <t>Wildtal</t>
  </si>
  <si>
    <t>Gundelfingen</t>
  </si>
  <si>
    <t>Heuweiler</t>
  </si>
  <si>
    <t>Merdingen</t>
  </si>
  <si>
    <t>Waltershofen</t>
  </si>
  <si>
    <t>Tiengen</t>
  </si>
  <si>
    <t>St. Peter</t>
  </si>
  <si>
    <t>Zunzingen</t>
  </si>
  <si>
    <t>Müllheim</t>
  </si>
  <si>
    <t>Schluchsee</t>
  </si>
  <si>
    <t>Buggingen</t>
  </si>
  <si>
    <t>Seefelden</t>
  </si>
  <si>
    <t>Sulzburg</t>
  </si>
  <si>
    <t>Britzingen</t>
  </si>
  <si>
    <t>Dattingen</t>
  </si>
  <si>
    <t>Feldberg</t>
  </si>
  <si>
    <t>Hügelheim</t>
  </si>
  <si>
    <t>Faulenfürst</t>
  </si>
  <si>
    <t>Vögisheim</t>
  </si>
  <si>
    <t>Badenweiler</t>
  </si>
  <si>
    <t>Lipburg</t>
  </si>
  <si>
    <t>Schweighof</t>
  </si>
  <si>
    <t>Oberrimsingen</t>
  </si>
  <si>
    <t>Neuenburg</t>
  </si>
  <si>
    <t>Steinenstadt</t>
  </si>
  <si>
    <t>Zienken</t>
  </si>
  <si>
    <t>Freiburg</t>
  </si>
  <si>
    <t>Ebnet</t>
  </si>
  <si>
    <t>Eschbach</t>
  </si>
  <si>
    <t>Burg</t>
  </si>
  <si>
    <t>Niederweiler</t>
  </si>
  <si>
    <t>Friedenweiler</t>
  </si>
  <si>
    <t>Heitersheim</t>
  </si>
  <si>
    <t>Dottingen</t>
  </si>
  <si>
    <t>Ballrechten-Dottingen</t>
  </si>
  <si>
    <t>Staufen</t>
  </si>
  <si>
    <t>Staufen im Breisgau</t>
  </si>
  <si>
    <t>Grunern</t>
  </si>
  <si>
    <t>Wettelbrunn</t>
  </si>
  <si>
    <t>Blasiwald</t>
  </si>
  <si>
    <t>Untermünstertal</t>
  </si>
  <si>
    <t>Münstertal/Schwarzwald</t>
  </si>
  <si>
    <t>Ballrechten</t>
  </si>
  <si>
    <t>Löffingen</t>
  </si>
  <si>
    <t>Bachheim</t>
  </si>
  <si>
    <t>Dittishausen</t>
  </si>
  <si>
    <t>Saig</t>
  </si>
  <si>
    <t>Lenzkirch</t>
  </si>
  <si>
    <t>Obermünstertal</t>
  </si>
  <si>
    <t>Göschweiler</t>
  </si>
  <si>
    <t>Feldberg/Feldberg</t>
  </si>
  <si>
    <t>Falkau</t>
  </si>
  <si>
    <t>Raitenbuch</t>
  </si>
  <si>
    <t>Kappel/Lenzkirch</t>
  </si>
  <si>
    <t>Gallenweiler</t>
  </si>
  <si>
    <t>Unadingen</t>
  </si>
  <si>
    <t>Seppenhofen</t>
  </si>
  <si>
    <t>Reiselfingen</t>
  </si>
  <si>
    <t>Altglashütten</t>
  </si>
  <si>
    <t>Huttingen</t>
  </si>
  <si>
    <t>Efringen-Kirchen</t>
  </si>
  <si>
    <t>Weitenau</t>
  </si>
  <si>
    <t>Steinen</t>
  </si>
  <si>
    <t>Blansingen</t>
  </si>
  <si>
    <t>Egringen</t>
  </si>
  <si>
    <t>Istein</t>
  </si>
  <si>
    <t>Kleinkems</t>
  </si>
  <si>
    <t>Mappach</t>
  </si>
  <si>
    <t>Welmlingen</t>
  </si>
  <si>
    <t>Wittlingen</t>
  </si>
  <si>
    <t>Wintersweiler</t>
  </si>
  <si>
    <t>Schlächtenhaus</t>
  </si>
  <si>
    <t>Hüsingen</t>
  </si>
  <si>
    <t>Höllstein</t>
  </si>
  <si>
    <t>Hägelberg</t>
  </si>
  <si>
    <t>Endenburg</t>
  </si>
  <si>
    <t>Maulburg</t>
  </si>
  <si>
    <t>Hasel</t>
  </si>
  <si>
    <t>Wiechs</t>
  </si>
  <si>
    <t>Schopfheim</t>
  </si>
  <si>
    <t>Raitbach</t>
  </si>
  <si>
    <t>Langenau</t>
  </si>
  <si>
    <t>Fahrnau</t>
  </si>
  <si>
    <t>Hauingen</t>
  </si>
  <si>
    <t>Lörrach</t>
  </si>
  <si>
    <t>Enkenstein</t>
  </si>
  <si>
    <t>Gersbach</t>
  </si>
  <si>
    <t>Inzlingen</t>
  </si>
  <si>
    <t>Wyhlen</t>
  </si>
  <si>
    <t>Grenzach-Wyhlen</t>
  </si>
  <si>
    <t>Wieslet</t>
  </si>
  <si>
    <t>Eichen</t>
  </si>
  <si>
    <t>Nordschwaben</t>
  </si>
  <si>
    <t>Rheinfelden (Baden)</t>
  </si>
  <si>
    <t>Minseln</t>
  </si>
  <si>
    <t>Karsau</t>
  </si>
  <si>
    <t>Herten</t>
  </si>
  <si>
    <t>Eichsel</t>
  </si>
  <si>
    <t>Degerfelden</t>
  </si>
  <si>
    <t>Adelhausen</t>
  </si>
  <si>
    <t>Rheinfelden</t>
  </si>
  <si>
    <t>Schwörstadt</t>
  </si>
  <si>
    <t>Schallbach</t>
  </si>
  <si>
    <t>Grenzach</t>
  </si>
  <si>
    <t>Weil am Rhein</t>
  </si>
  <si>
    <t>Märkt</t>
  </si>
  <si>
    <t>Haltingen</t>
  </si>
  <si>
    <t>Eimeldingen</t>
  </si>
  <si>
    <t>Binzen</t>
  </si>
  <si>
    <t>Rümmingen</t>
  </si>
  <si>
    <t>Fischingen</t>
  </si>
  <si>
    <t>Dossenbach</t>
  </si>
  <si>
    <t>Schönenberg</t>
  </si>
  <si>
    <t>Bamlach</t>
  </si>
  <si>
    <t>Bad Bellingen</t>
  </si>
  <si>
    <t>Tegernau</t>
  </si>
  <si>
    <t>Elbenschwand</t>
  </si>
  <si>
    <t>Raich</t>
  </si>
  <si>
    <t>Wies</t>
  </si>
  <si>
    <t>Bürchau</t>
  </si>
  <si>
    <t>Neuenweg</t>
  </si>
  <si>
    <t>Fröhnd</t>
  </si>
  <si>
    <t>Wembach</t>
  </si>
  <si>
    <t>Tunau</t>
  </si>
  <si>
    <t>Hertingen</t>
  </si>
  <si>
    <t>Böllen</t>
  </si>
  <si>
    <t>Bellingen</t>
  </si>
  <si>
    <t>Utzenfeld</t>
  </si>
  <si>
    <t>Aitern</t>
  </si>
  <si>
    <t>Wieden</t>
  </si>
  <si>
    <t>Todtnauberg</t>
  </si>
  <si>
    <t>Todtnau</t>
  </si>
  <si>
    <t>Schlechtnau</t>
  </si>
  <si>
    <t>Präg</t>
  </si>
  <si>
    <t>Muggenbrunn</t>
  </si>
  <si>
    <t>Geschwend</t>
  </si>
  <si>
    <t>Aftersteg</t>
  </si>
  <si>
    <t>Schliengen</t>
  </si>
  <si>
    <t>Schönau im Schwarzwald</t>
  </si>
  <si>
    <t>Sitzenkirch</t>
  </si>
  <si>
    <t>Kandern</t>
  </si>
  <si>
    <t>Hausen im Wiesental</t>
  </si>
  <si>
    <t>Riedichen</t>
  </si>
  <si>
    <t>Zell im Wiesental</t>
  </si>
  <si>
    <t>Pfaffenberg</t>
  </si>
  <si>
    <t>Mambach</t>
  </si>
  <si>
    <t>Gresgen</t>
  </si>
  <si>
    <t>Atzenbach</t>
  </si>
  <si>
    <t>Adelsberg</t>
  </si>
  <si>
    <t>Häg</t>
  </si>
  <si>
    <t>Häg-Ehrsberg</t>
  </si>
  <si>
    <t>Ehrsberg</t>
  </si>
  <si>
    <t>Sallneck</t>
  </si>
  <si>
    <t>Tannenkirch</t>
  </si>
  <si>
    <t>Riedlingen</t>
  </si>
  <si>
    <t>Holzen</t>
  </si>
  <si>
    <t>Marzell</t>
  </si>
  <si>
    <t>Malsburg-Marzell</t>
  </si>
  <si>
    <t>Malsburg</t>
  </si>
  <si>
    <t>Rheinweiler</t>
  </si>
  <si>
    <t>Liel</t>
  </si>
  <si>
    <t>Mauchen</t>
  </si>
  <si>
    <t>Niedereggenen</t>
  </si>
  <si>
    <t>Obereggenen</t>
  </si>
  <si>
    <t>Wollbach</t>
  </si>
  <si>
    <t>Tiergarten</t>
  </si>
  <si>
    <t>Oberkirch</t>
  </si>
  <si>
    <t>Kürzell</t>
  </si>
  <si>
    <t>Meißenheim</t>
  </si>
  <si>
    <t>Gengenbach</t>
  </si>
  <si>
    <t>Schwaibach</t>
  </si>
  <si>
    <t>Berghaupten</t>
  </si>
  <si>
    <t>Friesenheim</t>
  </si>
  <si>
    <t>Heiligenzell</t>
  </si>
  <si>
    <t>Oberschopfheim</t>
  </si>
  <si>
    <t>Diersburg</t>
  </si>
  <si>
    <t>Hohberg</t>
  </si>
  <si>
    <t>Ohlsbach</t>
  </si>
  <si>
    <t>Allmannsweier</t>
  </si>
  <si>
    <t>Schwanau</t>
  </si>
  <si>
    <t>Nonnenweier</t>
  </si>
  <si>
    <t>Ottenheim</t>
  </si>
  <si>
    <t>Wittenweier</t>
  </si>
  <si>
    <t>Lahr</t>
  </si>
  <si>
    <t>Lahr/Schwarzwald</t>
  </si>
  <si>
    <t>Hugsweier</t>
  </si>
  <si>
    <t>Kippenheimweiler</t>
  </si>
  <si>
    <t>Schuttern</t>
  </si>
  <si>
    <t>Nordrach</t>
  </si>
  <si>
    <t>Hofweier</t>
  </si>
  <si>
    <t>Niederschopfheim</t>
  </si>
  <si>
    <t>Oppenau</t>
  </si>
  <si>
    <t>Ibach</t>
  </si>
  <si>
    <t>Lierbach</t>
  </si>
  <si>
    <t>Maisach</t>
  </si>
  <si>
    <t>Ramsbach</t>
  </si>
  <si>
    <t>Peterstal</t>
  </si>
  <si>
    <t>Bad Peterstal-Griesbach</t>
  </si>
  <si>
    <t>Oberharmersbach</t>
  </si>
  <si>
    <t>Zell am Harmersbach</t>
  </si>
  <si>
    <t>Oberentersbach</t>
  </si>
  <si>
    <t>Unterentersbach</t>
  </si>
  <si>
    <t>Unterharmersbach</t>
  </si>
  <si>
    <t>Prinzbach</t>
  </si>
  <si>
    <t>Mietersheim</t>
  </si>
  <si>
    <t>Griesbach</t>
  </si>
  <si>
    <t>Gutach (Schwarzwaldbahn)</t>
  </si>
  <si>
    <t>Kuhbach</t>
  </si>
  <si>
    <t>Welschensteinach</t>
  </si>
  <si>
    <t>Haslach im Kinzigtal</t>
  </si>
  <si>
    <t>Bollenbach</t>
  </si>
  <si>
    <t>Hofstetten</t>
  </si>
  <si>
    <t>Mühlenbach</t>
  </si>
  <si>
    <t>Schweighausen</t>
  </si>
  <si>
    <t>Schuttertal</t>
  </si>
  <si>
    <t>Hausach</t>
  </si>
  <si>
    <t>Dörlinbach</t>
  </si>
  <si>
    <t>Oberwolfach</t>
  </si>
  <si>
    <t>Wolfach</t>
  </si>
  <si>
    <t>Kinzigtal</t>
  </si>
  <si>
    <t>Kirnbach</t>
  </si>
  <si>
    <t>Niederwasser</t>
  </si>
  <si>
    <t>Reichenbach/Hornberg</t>
  </si>
  <si>
    <t>Diersheim</t>
  </si>
  <si>
    <t>Ringsheim</t>
  </si>
  <si>
    <t>Rust</t>
  </si>
  <si>
    <t>Reichenbach/Lahr/Schwarzwald</t>
  </si>
  <si>
    <t>Kippenheim</t>
  </si>
  <si>
    <t>Schmieheim</t>
  </si>
  <si>
    <t>Mahlberg</t>
  </si>
  <si>
    <t>Orschweier</t>
  </si>
  <si>
    <t>Fischerbach</t>
  </si>
  <si>
    <t>Kappel-Grafenhausen</t>
  </si>
  <si>
    <t>Langenwinkel</t>
  </si>
  <si>
    <t>Ettenheim</t>
  </si>
  <si>
    <t>Ettenheimmünster</t>
  </si>
  <si>
    <t>Münchweier</t>
  </si>
  <si>
    <t>Wallburg</t>
  </si>
  <si>
    <t>Seelbach</t>
  </si>
  <si>
    <t>Schönberg</t>
  </si>
  <si>
    <t>Wittelbach</t>
  </si>
  <si>
    <t>Grafenhausen</t>
  </si>
  <si>
    <t>Kappelrodeck</t>
  </si>
  <si>
    <t>Waldulm</t>
  </si>
  <si>
    <t>Seebach</t>
  </si>
  <si>
    <t>Ottenhöfen</t>
  </si>
  <si>
    <t>Ottenhöfen im Schwarzwal</t>
  </si>
  <si>
    <t>Furschenbach</t>
  </si>
  <si>
    <t>Renchen</t>
  </si>
  <si>
    <t>Lauf</t>
  </si>
  <si>
    <t>Obersasbach</t>
  </si>
  <si>
    <t>Bottenau</t>
  </si>
  <si>
    <t>Butschbach</t>
  </si>
  <si>
    <t>Haslach/Oberkirch</t>
  </si>
  <si>
    <t>Ödsbach</t>
  </si>
  <si>
    <t>Stadelhofen</t>
  </si>
  <si>
    <t>Ringelbach</t>
  </si>
  <si>
    <t>Zusenhofen</t>
  </si>
  <si>
    <t>Erlach</t>
  </si>
  <si>
    <t>Rheinbischofsheim</t>
  </si>
  <si>
    <t>Ortenberg</t>
  </si>
  <si>
    <t>Freistett</t>
  </si>
  <si>
    <t>Hausgereut</t>
  </si>
  <si>
    <t>Helmlingen</t>
  </si>
  <si>
    <t>Honau</t>
  </si>
  <si>
    <t>Sasbachwalden</t>
  </si>
  <si>
    <t>Memprechtshofen</t>
  </si>
  <si>
    <t>Wagshurst</t>
  </si>
  <si>
    <t>Achern</t>
  </si>
  <si>
    <t>Fautenbach</t>
  </si>
  <si>
    <t>Gamshurst</t>
  </si>
  <si>
    <t>Großweier</t>
  </si>
  <si>
    <t>Mösbach</t>
  </si>
  <si>
    <t>Oberachern</t>
  </si>
  <si>
    <t>Sasbachried</t>
  </si>
  <si>
    <t>Linx</t>
  </si>
  <si>
    <t>Weier</t>
  </si>
  <si>
    <t>Offenburg</t>
  </si>
  <si>
    <t>Dundenheim</t>
  </si>
  <si>
    <t>Neuried</t>
  </si>
  <si>
    <t>Ichenheim</t>
  </si>
  <si>
    <t>Müllen</t>
  </si>
  <si>
    <t>Schutterzell</t>
  </si>
  <si>
    <t>Bohlsbach</t>
  </si>
  <si>
    <t>Fessenbach</t>
  </si>
  <si>
    <t>Altenheim</t>
  </si>
  <si>
    <t>Waltersweier</t>
  </si>
  <si>
    <t>Elgersweier</t>
  </si>
  <si>
    <t>Windschläg</t>
  </si>
  <si>
    <t>Zell-Weierbach</t>
  </si>
  <si>
    <t>Zunsweier</t>
  </si>
  <si>
    <t>Durbach</t>
  </si>
  <si>
    <t>Appenweier</t>
  </si>
  <si>
    <t>Önsbach</t>
  </si>
  <si>
    <t>Ebersweier</t>
  </si>
  <si>
    <t>Schutterwald</t>
  </si>
  <si>
    <t>Rammersweier</t>
  </si>
  <si>
    <t>Auenheim</t>
  </si>
  <si>
    <t>Kehl</t>
  </si>
  <si>
    <t>Nesselried</t>
  </si>
  <si>
    <t>Willstätt</t>
  </si>
  <si>
    <t>Griesheim</t>
  </si>
  <si>
    <t>Zierolshofen</t>
  </si>
  <si>
    <t>Hesselhurst</t>
  </si>
  <si>
    <t>Legelshurst</t>
  </si>
  <si>
    <t>Sand</t>
  </si>
  <si>
    <t>Urloffen</t>
  </si>
  <si>
    <t>Eckartsweier</t>
  </si>
  <si>
    <t>Bodersweier</t>
  </si>
  <si>
    <t>Neumühl</t>
  </si>
  <si>
    <t>Querbach</t>
  </si>
  <si>
    <t>Goldscheuer</t>
  </si>
  <si>
    <t>Hohnhurst</t>
  </si>
  <si>
    <t>Kork</t>
  </si>
  <si>
    <t>Leutesheim</t>
  </si>
  <si>
    <t>Odelshofen</t>
  </si>
  <si>
    <t>Welschingen</t>
  </si>
  <si>
    <t>Engen</t>
  </si>
  <si>
    <t>Orsingen</t>
  </si>
  <si>
    <t>Orsingen-Nenzingen</t>
  </si>
  <si>
    <t>Biesendorf</t>
  </si>
  <si>
    <t>Anselfingen</t>
  </si>
  <si>
    <t>Bodman</t>
  </si>
  <si>
    <t>Bodman-Ludwigshafen</t>
  </si>
  <si>
    <t>Ludwigshafen</t>
  </si>
  <si>
    <t>Bittelbrunn</t>
  </si>
  <si>
    <t>Zimmerholz</t>
  </si>
  <si>
    <t>Ehingen</t>
  </si>
  <si>
    <t>Mühlhausen-Ehingen</t>
  </si>
  <si>
    <t>Tengen</t>
  </si>
  <si>
    <t>Blumenfeld</t>
  </si>
  <si>
    <t>Büßlingen</t>
  </si>
  <si>
    <t>Nenzingen</t>
  </si>
  <si>
    <t>Watterdingen</t>
  </si>
  <si>
    <t>Heudorf</t>
  </si>
  <si>
    <t>Eigeltingen</t>
  </si>
  <si>
    <t>Beuren/Tengen</t>
  </si>
  <si>
    <t>Liggersdorf</t>
  </si>
  <si>
    <t>Hohenfels</t>
  </si>
  <si>
    <t>Gallmannsweil</t>
  </si>
  <si>
    <t>Mühlingen</t>
  </si>
  <si>
    <t>Mainwangen</t>
  </si>
  <si>
    <t>Bankholzen</t>
  </si>
  <si>
    <t>Schwackenreute</t>
  </si>
  <si>
    <t>Zoznegg</t>
  </si>
  <si>
    <t>Honstetten</t>
  </si>
  <si>
    <t>Rorgenwies</t>
  </si>
  <si>
    <t>Münchhöf</t>
  </si>
  <si>
    <t>Kalkofen</t>
  </si>
  <si>
    <t>Zizenhausen</t>
  </si>
  <si>
    <t>Stockach</t>
  </si>
  <si>
    <t>Mindersdorf</t>
  </si>
  <si>
    <t>Selgetsweiler</t>
  </si>
  <si>
    <t>Espasingen</t>
  </si>
  <si>
    <t>Hindelwangen</t>
  </si>
  <si>
    <t>Hoppetenzell</t>
  </si>
  <si>
    <t>Mahlspüren im Hegau</t>
  </si>
  <si>
    <t>Mahlspüren im Tal</t>
  </si>
  <si>
    <t>Raithaslach</t>
  </si>
  <si>
    <t>Wahlwies</t>
  </si>
  <si>
    <t>Winterspüren</t>
  </si>
  <si>
    <t>Deutwang</t>
  </si>
  <si>
    <t>Reichenau</t>
  </si>
  <si>
    <t>Markelfingen</t>
  </si>
  <si>
    <t>Radolfzell am Bodensee</t>
  </si>
  <si>
    <t>Möggingen</t>
  </si>
  <si>
    <t>Stahringen</t>
  </si>
  <si>
    <t>Allensbach</t>
  </si>
  <si>
    <t>Hegne</t>
  </si>
  <si>
    <t>Kaltbrunn</t>
  </si>
  <si>
    <t>Langenrain</t>
  </si>
  <si>
    <t>Konstanz</t>
  </si>
  <si>
    <t>Güttingen</t>
  </si>
  <si>
    <t>Litzelstetten</t>
  </si>
  <si>
    <t>Böhringen</t>
  </si>
  <si>
    <t>Iznang</t>
  </si>
  <si>
    <t>Gaienhofen</t>
  </si>
  <si>
    <t>Gundholzen</t>
  </si>
  <si>
    <t>Hemmenhofen</t>
  </si>
  <si>
    <t>Horn</t>
  </si>
  <si>
    <t>Öhningen</t>
  </si>
  <si>
    <t>Schienen</t>
  </si>
  <si>
    <t>Dingelsdorf</t>
  </si>
  <si>
    <t>Steißlingen</t>
  </si>
  <si>
    <t>Binningen</t>
  </si>
  <si>
    <t>Hilzingen</t>
  </si>
  <si>
    <t>Riedheim</t>
  </si>
  <si>
    <t>Schlatt/Hilzingen</t>
  </si>
  <si>
    <t>Weiterdingen</t>
  </si>
  <si>
    <t>Gottmadingen</t>
  </si>
  <si>
    <t>Bietingen</t>
  </si>
  <si>
    <t>Randegg</t>
  </si>
  <si>
    <t>Büsingen</t>
  </si>
  <si>
    <t>Büsingen am Hochrhein</t>
  </si>
  <si>
    <t>Liggeringen</t>
  </si>
  <si>
    <t>Volkertshausen</t>
  </si>
  <si>
    <t>Wiechs/Steisslingen</t>
  </si>
  <si>
    <t>Singen (Hohentwiel)</t>
  </si>
  <si>
    <t>Bohlingen</t>
  </si>
  <si>
    <t>Friedingen</t>
  </si>
  <si>
    <t>Überlingen</t>
  </si>
  <si>
    <t>Rielasingen</t>
  </si>
  <si>
    <t>Rielasingen-Worblingen</t>
  </si>
  <si>
    <t>Worblingen</t>
  </si>
  <si>
    <t>Radolfzell</t>
  </si>
  <si>
    <t>Gailingen</t>
  </si>
  <si>
    <t>Deißlingen</t>
  </si>
  <si>
    <t>Rottweil</t>
  </si>
  <si>
    <t>Trichtingen</t>
  </si>
  <si>
    <t>Epfendorf</t>
  </si>
  <si>
    <t>Rötenberg</t>
  </si>
  <si>
    <t>Lauterbach</t>
  </si>
  <si>
    <t>Schramberg</t>
  </si>
  <si>
    <t>Waldmössingen</t>
  </si>
  <si>
    <t>Tennenbronn</t>
  </si>
  <si>
    <t>Dunningen</t>
  </si>
  <si>
    <t>Lackendorf</t>
  </si>
  <si>
    <t>Seedorf</t>
  </si>
  <si>
    <t>Locherhof</t>
  </si>
  <si>
    <t>Eschbronn</t>
  </si>
  <si>
    <t>Rotenzimmern</t>
  </si>
  <si>
    <t>Dietingen</t>
  </si>
  <si>
    <t>Göllsdorf</t>
  </si>
  <si>
    <t>Feckenhausen</t>
  </si>
  <si>
    <t>Zimmern ob Rottweil</t>
  </si>
  <si>
    <t>Horgen</t>
  </si>
  <si>
    <t>Mariazell</t>
  </si>
  <si>
    <t>Irslingen</t>
  </si>
  <si>
    <t>Gößlingen</t>
  </si>
  <si>
    <t>Villingendorf</t>
  </si>
  <si>
    <t>Hochmössingen</t>
  </si>
  <si>
    <t>Oberndorf am Neckar</t>
  </si>
  <si>
    <t>Flözlingen</t>
  </si>
  <si>
    <t>Fürnsal</t>
  </si>
  <si>
    <t>Dornhan</t>
  </si>
  <si>
    <t>Sulz am Neckar</t>
  </si>
  <si>
    <t>Bergfelden</t>
  </si>
  <si>
    <t>Dürrenmettstetten</t>
  </si>
  <si>
    <t>Glatt</t>
  </si>
  <si>
    <t>Hopfau</t>
  </si>
  <si>
    <t>Mühlheim</t>
  </si>
  <si>
    <t>Renfrizhausen</t>
  </si>
  <si>
    <t>Sigmarswangen</t>
  </si>
  <si>
    <t>Vöhringen</t>
  </si>
  <si>
    <t>Wittershausen</t>
  </si>
  <si>
    <t>Schiltach</t>
  </si>
  <si>
    <t>Bochingen</t>
  </si>
  <si>
    <t>Altoberndorf</t>
  </si>
  <si>
    <t>Winzeln</t>
  </si>
  <si>
    <t>Fluorn-Winzeln</t>
  </si>
  <si>
    <t>Bettenhausen</t>
  </si>
  <si>
    <t>Lehengericht</t>
  </si>
  <si>
    <t>Busenweiler</t>
  </si>
  <si>
    <t>Schenkenzell</t>
  </si>
  <si>
    <t>Weiden</t>
  </si>
  <si>
    <t>Marschalkenzimmern</t>
  </si>
  <si>
    <t>Leinstetten</t>
  </si>
  <si>
    <t>Beffendorf</t>
  </si>
  <si>
    <t>Fluorn</t>
  </si>
  <si>
    <t>Zepfenhan</t>
  </si>
  <si>
    <t>Wellendingen</t>
  </si>
  <si>
    <t>Wilflingen</t>
  </si>
  <si>
    <t>Aistaig</t>
  </si>
  <si>
    <t>Neufra</t>
  </si>
  <si>
    <t>Fridingen</t>
  </si>
  <si>
    <t>Fridingen an der Donau</t>
  </si>
  <si>
    <t>Immendingen</t>
  </si>
  <si>
    <t>Aulfingen</t>
  </si>
  <si>
    <t>Gutmadingen</t>
  </si>
  <si>
    <t>Kirchen-Hausen</t>
  </si>
  <si>
    <t>Leipferdingen</t>
  </si>
  <si>
    <t>Rietheim-Weilheim</t>
  </si>
  <si>
    <t>Ippingen</t>
  </si>
  <si>
    <t>Worndorf</t>
  </si>
  <si>
    <t>Neuhausen ob Eck</t>
  </si>
  <si>
    <t>Deilingen</t>
  </si>
  <si>
    <t>Hattingen</t>
  </si>
  <si>
    <t>Mühlheim an der Donau</t>
  </si>
  <si>
    <t>Emmingen-Liptingen</t>
  </si>
  <si>
    <t>Mauenheim</t>
  </si>
  <si>
    <t>Schwandorf</t>
  </si>
  <si>
    <t>Nendingen</t>
  </si>
  <si>
    <t>Tuttlingen</t>
  </si>
  <si>
    <t>Eßlingen</t>
  </si>
  <si>
    <t>Wurmlingen</t>
  </si>
  <si>
    <t>Seitingen</t>
  </si>
  <si>
    <t>Seitingen-Oberflacht</t>
  </si>
  <si>
    <t>Liptingen</t>
  </si>
  <si>
    <t>Denkingen</t>
  </si>
  <si>
    <t>Hintschingen</t>
  </si>
  <si>
    <t>Oberflacht</t>
  </si>
  <si>
    <t>Wehingen</t>
  </si>
  <si>
    <t>Gosheim</t>
  </si>
  <si>
    <t>Reichenbach am Heuberg</t>
  </si>
  <si>
    <t>Bubsheim</t>
  </si>
  <si>
    <t>Egesheim</t>
  </si>
  <si>
    <t>Frittlingen</t>
  </si>
  <si>
    <t>Böttingen</t>
  </si>
  <si>
    <t>Aixheim</t>
  </si>
  <si>
    <t>Spaichingen</t>
  </si>
  <si>
    <t>Balgheim</t>
  </si>
  <si>
    <t>Irndorf</t>
  </si>
  <si>
    <t>Königsheim</t>
  </si>
  <si>
    <t>Kolbingen</t>
  </si>
  <si>
    <t>Dürbheim</t>
  </si>
  <si>
    <t>Bärenthal</t>
  </si>
  <si>
    <t>Renquishausen</t>
  </si>
  <si>
    <t>Durchhausen</t>
  </si>
  <si>
    <t>Gunningen</t>
  </si>
  <si>
    <t>Schura</t>
  </si>
  <si>
    <t>Trossingen</t>
  </si>
  <si>
    <t>Hausen ob Verena</t>
  </si>
  <si>
    <t>Mahlstetten</t>
  </si>
  <si>
    <t>Dangstetten</t>
  </si>
  <si>
    <t>Küssaberg</t>
  </si>
  <si>
    <t>Altenburg</t>
  </si>
  <si>
    <t>Jestetten</t>
  </si>
  <si>
    <t>Lottstetten</t>
  </si>
  <si>
    <t>Dettighofen</t>
  </si>
  <si>
    <t>Baltersweil</t>
  </si>
  <si>
    <t>Hohentengen</t>
  </si>
  <si>
    <t>Hohentengen am Hochrhein</t>
  </si>
  <si>
    <t>Bergöschingen</t>
  </si>
  <si>
    <t>Lienheim</t>
  </si>
  <si>
    <t>Küßnach</t>
  </si>
  <si>
    <t>Bechtersbohl</t>
  </si>
  <si>
    <t>Reckingen</t>
  </si>
  <si>
    <t>Kadelburg</t>
  </si>
  <si>
    <t>Rheinheim</t>
  </si>
  <si>
    <t>Unterlauchringen</t>
  </si>
  <si>
    <t>Lauchringen</t>
  </si>
  <si>
    <t>Ofteringen</t>
  </si>
  <si>
    <t>Wutöschingen</t>
  </si>
  <si>
    <t>Hochsal</t>
  </si>
  <si>
    <t>Laufenburg (Baden)</t>
  </si>
  <si>
    <t>Albbruck</t>
  </si>
  <si>
    <t>Oberlauchringen</t>
  </si>
  <si>
    <t>Dogern</t>
  </si>
  <si>
    <t>Waldshut</t>
  </si>
  <si>
    <t>Waldshut-Tiengen</t>
  </si>
  <si>
    <t>Eggingen</t>
  </si>
  <si>
    <t>Horheim</t>
  </si>
  <si>
    <t>Klettgau</t>
  </si>
  <si>
    <t>Schwerzen</t>
  </si>
  <si>
    <t>Erzingen</t>
  </si>
  <si>
    <t>Geißlingen</t>
  </si>
  <si>
    <t>Grießen</t>
  </si>
  <si>
    <t>Riedern/Klettgau</t>
  </si>
  <si>
    <t>Degernau</t>
  </si>
  <si>
    <t>Öflingen</t>
  </si>
  <si>
    <t>Wehr</t>
  </si>
  <si>
    <t>Grunholz</t>
  </si>
  <si>
    <t>Niederhof</t>
  </si>
  <si>
    <t>Murg</t>
  </si>
  <si>
    <t>Oberhof</t>
  </si>
  <si>
    <t>Säckingen</t>
  </si>
  <si>
    <t>Bad Säckingen</t>
  </si>
  <si>
    <t>Harpolingen</t>
  </si>
  <si>
    <t>Rippolingen</t>
  </si>
  <si>
    <t>Willaringen</t>
  </si>
  <si>
    <t>Rickenbach</t>
  </si>
  <si>
    <t>Laufenburg</t>
  </si>
  <si>
    <t>Binzgen</t>
  </si>
  <si>
    <t>Hauenstein</t>
  </si>
  <si>
    <t>Luttingen</t>
  </si>
  <si>
    <t>Rotzel</t>
  </si>
  <si>
    <t>Menzenschwand</t>
  </si>
  <si>
    <t>St. Blasien</t>
  </si>
  <si>
    <t>Wallbach</t>
  </si>
  <si>
    <t>Niedergebisbach</t>
  </si>
  <si>
    <t>Herrischried</t>
  </si>
  <si>
    <t>Birndorf</t>
  </si>
  <si>
    <t>Schachen</t>
  </si>
  <si>
    <t>Unteralpfen</t>
  </si>
  <si>
    <t>Großherrischwand</t>
  </si>
  <si>
    <t>Hänner</t>
  </si>
  <si>
    <t>Birkingen</t>
  </si>
  <si>
    <t>Rütte</t>
  </si>
  <si>
    <t>Wehrhalden</t>
  </si>
  <si>
    <t>Altenschwand</t>
  </si>
  <si>
    <t>Bergalingen</t>
  </si>
  <si>
    <t>Hottingen</t>
  </si>
  <si>
    <t>Hogschür</t>
  </si>
  <si>
    <t>Berau</t>
  </si>
  <si>
    <t>Ühlingen-Birkendorf</t>
  </si>
  <si>
    <t>Bernau</t>
  </si>
  <si>
    <t>Oberwangen</t>
  </si>
  <si>
    <t>Stühlingen</t>
  </si>
  <si>
    <t>Schwaningen</t>
  </si>
  <si>
    <t>Unterwangen</t>
  </si>
  <si>
    <t>Weizen</t>
  </si>
  <si>
    <t>Lausheim</t>
  </si>
  <si>
    <t>Grimmelshofen</t>
  </si>
  <si>
    <t>Birkendorf</t>
  </si>
  <si>
    <t>Brenden</t>
  </si>
  <si>
    <t>Hürrlingen</t>
  </si>
  <si>
    <t>Obermettingen</t>
  </si>
  <si>
    <t>Riedern</t>
  </si>
  <si>
    <t>Ühlingen</t>
  </si>
  <si>
    <t>Untermettingen</t>
  </si>
  <si>
    <t>Mettenberg</t>
  </si>
  <si>
    <t>Dillendorf</t>
  </si>
  <si>
    <t>Bonndorf im Schwarzwald</t>
  </si>
  <si>
    <t>Häusern</t>
  </si>
  <si>
    <t>Ewattingen</t>
  </si>
  <si>
    <t>Wutach</t>
  </si>
  <si>
    <t>Lembach</t>
  </si>
  <si>
    <t>Bonndorf</t>
  </si>
  <si>
    <t>Brunnadern</t>
  </si>
  <si>
    <t>Blumegg</t>
  </si>
  <si>
    <t>Gündelwangen</t>
  </si>
  <si>
    <t>Holzschlag</t>
  </si>
  <si>
    <t>Wittlekofen</t>
  </si>
  <si>
    <t>Bettmaringen</t>
  </si>
  <si>
    <t>Eberfingen</t>
  </si>
  <si>
    <t>Detzeln</t>
  </si>
  <si>
    <t>Rüßwihl</t>
  </si>
  <si>
    <t>Görwihl</t>
  </si>
  <si>
    <t>Segeten</t>
  </si>
  <si>
    <t>Strittmatt</t>
  </si>
  <si>
    <t>Bannholz</t>
  </si>
  <si>
    <t>Nöggenschwiel</t>
  </si>
  <si>
    <t>Rotzingen</t>
  </si>
  <si>
    <t>Breitenfeld</t>
  </si>
  <si>
    <t>Bierbronnen</t>
  </si>
  <si>
    <t>Gurtweil</t>
  </si>
  <si>
    <t>Oberalpfen</t>
  </si>
  <si>
    <t>Krenkingen</t>
  </si>
  <si>
    <t>Indlekofen</t>
  </si>
  <si>
    <t>Aichen</t>
  </si>
  <si>
    <t>Wolpadingen</t>
  </si>
  <si>
    <t>Dachsberg (Südschwarzwal</t>
  </si>
  <si>
    <t>Schlageten</t>
  </si>
  <si>
    <t>Todtmoos</t>
  </si>
  <si>
    <t>Remetschwiel</t>
  </si>
  <si>
    <t>Oberwihl</t>
  </si>
  <si>
    <t>Urberg</t>
  </si>
  <si>
    <t>Wittenschwand</t>
  </si>
  <si>
    <t>Höchenschwand</t>
  </si>
  <si>
    <t>Engelschwand</t>
  </si>
  <si>
    <t>Amrigschwand</t>
  </si>
  <si>
    <t>Tiefenhäusern</t>
  </si>
  <si>
    <t>Niederwihl</t>
  </si>
  <si>
    <t>Immeneich</t>
  </si>
  <si>
    <t>Hartschwand</t>
  </si>
  <si>
    <t>Wilfingen</t>
  </si>
  <si>
    <t>Burgfelden</t>
  </si>
  <si>
    <t>Albstadt</t>
  </si>
  <si>
    <t>Ebingen</t>
  </si>
  <si>
    <t>Margrethausen</t>
  </si>
  <si>
    <t>Pfeffingen</t>
  </si>
  <si>
    <t>Zillhausen</t>
  </si>
  <si>
    <t>Frommern</t>
  </si>
  <si>
    <t>Onstmettingen</t>
  </si>
  <si>
    <t>Lautlingen</t>
  </si>
  <si>
    <t>Weilstetten</t>
  </si>
  <si>
    <t>Streichen</t>
  </si>
  <si>
    <t>Haigerloch</t>
  </si>
  <si>
    <t>Stockenhausen</t>
  </si>
  <si>
    <t>Ostdorf</t>
  </si>
  <si>
    <t>Truchtelfingen</t>
  </si>
  <si>
    <t>Weilen</t>
  </si>
  <si>
    <t>Weilen unter den Rinnen</t>
  </si>
  <si>
    <t>Engstlatt</t>
  </si>
  <si>
    <t>Roßwangen</t>
  </si>
  <si>
    <t>Hossingen</t>
  </si>
  <si>
    <t>Meßstetten</t>
  </si>
  <si>
    <t>Zimmern unter der Burg</t>
  </si>
  <si>
    <t>Dautmergen</t>
  </si>
  <si>
    <t>Hechingen</t>
  </si>
  <si>
    <t>Erlaheim</t>
  </si>
  <si>
    <t>Dotternhausen</t>
  </si>
  <si>
    <t>Hausen am Tann</t>
  </si>
  <si>
    <t>Schörzingen</t>
  </si>
  <si>
    <t>Ratshausen</t>
  </si>
  <si>
    <t>Heinstetten</t>
  </si>
  <si>
    <t>Bitz</t>
  </si>
  <si>
    <t>Oberdigisheim</t>
  </si>
  <si>
    <t>Tieringen</t>
  </si>
  <si>
    <t>Unterdigisheim</t>
  </si>
  <si>
    <t>Obernheim</t>
  </si>
  <si>
    <t>Nusplingen</t>
  </si>
  <si>
    <t>Winterlingen</t>
  </si>
  <si>
    <t>Benzingen</t>
  </si>
  <si>
    <t>Straßberg</t>
  </si>
  <si>
    <t>Kaiseringen</t>
  </si>
  <si>
    <t>Bietenhausen</t>
  </si>
  <si>
    <t>Rangendingen</t>
  </si>
  <si>
    <t>Stetten/Hechingen</t>
  </si>
  <si>
    <t>Sickingen</t>
  </si>
  <si>
    <t>Dormettingen</t>
  </si>
  <si>
    <t>Burladingen</t>
  </si>
  <si>
    <t>Höfendorf</t>
  </si>
  <si>
    <t>Gauselfingen</t>
  </si>
  <si>
    <t>Weildorf</t>
  </si>
  <si>
    <t>Trillfingen</t>
  </si>
  <si>
    <t>Gruol</t>
  </si>
  <si>
    <t>Hart</t>
  </si>
  <si>
    <t>Imnau</t>
  </si>
  <si>
    <t>Owingen</t>
  </si>
  <si>
    <t>Bechtoldsweiler</t>
  </si>
  <si>
    <t>Thanheim</t>
  </si>
  <si>
    <t>Bisingen</t>
  </si>
  <si>
    <t>Täbingen</t>
  </si>
  <si>
    <t>Rosenfeld</t>
  </si>
  <si>
    <t>Leidringen</t>
  </si>
  <si>
    <t>Isingen</t>
  </si>
  <si>
    <t>Heiligenzimmern</t>
  </si>
  <si>
    <t>Brittheim</t>
  </si>
  <si>
    <t>Bickelsberg</t>
  </si>
  <si>
    <t>Zimmern/Bisingen</t>
  </si>
  <si>
    <t>Jungingen</t>
  </si>
  <si>
    <t>Wessingen</t>
  </si>
  <si>
    <t>Binsdorf</t>
  </si>
  <si>
    <t>Grosselfingen</t>
  </si>
  <si>
    <t>Stetten/Burladingen</t>
  </si>
  <si>
    <t>Starzeln</t>
  </si>
  <si>
    <t>Salmendingen</t>
  </si>
  <si>
    <t>Ringingen</t>
  </si>
  <si>
    <t>Melchingen</t>
  </si>
  <si>
    <t>Killer</t>
  </si>
  <si>
    <t>Hörschwag</t>
  </si>
  <si>
    <t>Hausen/Burladingen</t>
  </si>
  <si>
    <t>Sauggart</t>
  </si>
  <si>
    <t>Uttenweiler</t>
  </si>
  <si>
    <t>Langenschemmern</t>
  </si>
  <si>
    <t>Schemmerhofen</t>
  </si>
  <si>
    <t>Schönebürg</t>
  </si>
  <si>
    <t>Schwendi</t>
  </si>
  <si>
    <t>Sießen</t>
  </si>
  <si>
    <t>Wain</t>
  </si>
  <si>
    <t>Alberweiler</t>
  </si>
  <si>
    <t>Altheim/Schemmerhofen</t>
  </si>
  <si>
    <t>Aßmannshardt</t>
  </si>
  <si>
    <t>Andelfingen</t>
  </si>
  <si>
    <t>Langenenslingen</t>
  </si>
  <si>
    <t>Ingerkingen</t>
  </si>
  <si>
    <t>Bußmannshausen</t>
  </si>
  <si>
    <t>Schemmerberg</t>
  </si>
  <si>
    <t>Bechingen</t>
  </si>
  <si>
    <t>Daugendorf</t>
  </si>
  <si>
    <t>Aufhofen</t>
  </si>
  <si>
    <t>Bihlafingen</t>
  </si>
  <si>
    <t>Laupheim</t>
  </si>
  <si>
    <t>Bronnen</t>
  </si>
  <si>
    <t>Achstetten</t>
  </si>
  <si>
    <t>Oberholzheim</t>
  </si>
  <si>
    <t>Burgrieden</t>
  </si>
  <si>
    <t>Rot/Burgrieden</t>
  </si>
  <si>
    <t>Orsenhausen</t>
  </si>
  <si>
    <t>Baustetten</t>
  </si>
  <si>
    <t>Großschafhausen</t>
  </si>
  <si>
    <t>Obersulmetingen</t>
  </si>
  <si>
    <t>Untersulmetingen</t>
  </si>
  <si>
    <t>Mietingen</t>
  </si>
  <si>
    <t>Baltringen</t>
  </si>
  <si>
    <t>Walpertshofen</t>
  </si>
  <si>
    <t>Zwiefaltendorf</t>
  </si>
  <si>
    <t>Dürmentingen</t>
  </si>
  <si>
    <t>Pflummern</t>
  </si>
  <si>
    <t>Ittenhausen</t>
  </si>
  <si>
    <t>Heiligkreuztal</t>
  </si>
  <si>
    <t>Emerfeld</t>
  </si>
  <si>
    <t>Hailtingen</t>
  </si>
  <si>
    <t>Egelfingen</t>
  </si>
  <si>
    <t>Ertingen</t>
  </si>
  <si>
    <t>Binzwangen</t>
  </si>
  <si>
    <t>Erisdorf</t>
  </si>
  <si>
    <t>Betzenweiler</t>
  </si>
  <si>
    <t>Alleshausen</t>
  </si>
  <si>
    <t>Seekirch</t>
  </si>
  <si>
    <t>Dietershausen</t>
  </si>
  <si>
    <t>Moosburg</t>
  </si>
  <si>
    <t>Unlingen</t>
  </si>
  <si>
    <t>Dietelhofen</t>
  </si>
  <si>
    <t>Göffingen</t>
  </si>
  <si>
    <t>Uigendorf</t>
  </si>
  <si>
    <t>Ahlen</t>
  </si>
  <si>
    <t>Dieterskirch</t>
  </si>
  <si>
    <t>Oberwachingen</t>
  </si>
  <si>
    <t>Offingen</t>
  </si>
  <si>
    <t>Eberhardzell</t>
  </si>
  <si>
    <t>Billafingen</t>
  </si>
  <si>
    <t>Dürrenwaldstetten</t>
  </si>
  <si>
    <t>Berkheim</t>
  </si>
  <si>
    <t>Gutenzell</t>
  </si>
  <si>
    <t>Gutenzell-Hürbel</t>
  </si>
  <si>
    <t>Hürbel</t>
  </si>
  <si>
    <t>Ochsenhausen</t>
  </si>
  <si>
    <t>Mittelbuch</t>
  </si>
  <si>
    <t>Reinstetten</t>
  </si>
  <si>
    <t>Erlenmoos</t>
  </si>
  <si>
    <t>Steinhausen</t>
  </si>
  <si>
    <t>Steinhausen an der Rottu</t>
  </si>
  <si>
    <t>Bellamont</t>
  </si>
  <si>
    <t>Rottum</t>
  </si>
  <si>
    <t>Kirchberg an der Iller</t>
  </si>
  <si>
    <t>Dettingen an der Iller</t>
  </si>
  <si>
    <t>Erolzheim</t>
  </si>
  <si>
    <t>Oberessendorf</t>
  </si>
  <si>
    <t>Oberopfingen</t>
  </si>
  <si>
    <t>Kirchdorf an der Iller</t>
  </si>
  <si>
    <t>Muttensweiler</t>
  </si>
  <si>
    <t>Ingoldingen</t>
  </si>
  <si>
    <t>Rot an der Rot</t>
  </si>
  <si>
    <t>Grodt</t>
  </si>
  <si>
    <t>Winterstettendorf</t>
  </si>
  <si>
    <t>Schussenried</t>
  </si>
  <si>
    <t>Bad Schussenried</t>
  </si>
  <si>
    <t>Otterswang</t>
  </si>
  <si>
    <t>Steinhausen/Bad Schussenried</t>
  </si>
  <si>
    <t>Kanzach</t>
  </si>
  <si>
    <t>Attenweiler</t>
  </si>
  <si>
    <t>Oggelshausen</t>
  </si>
  <si>
    <t>Winterstettenstadt</t>
  </si>
  <si>
    <t>Füramoos</t>
  </si>
  <si>
    <t>Buchau</t>
  </si>
  <si>
    <t>Bad Buchau</t>
  </si>
  <si>
    <t>Allmannsweiler</t>
  </si>
  <si>
    <t>Oggelsbeuren</t>
  </si>
  <si>
    <t>Rupertshofen</t>
  </si>
  <si>
    <t>Warthausen</t>
  </si>
  <si>
    <t>Birkenhard</t>
  </si>
  <si>
    <t>Maselheim</t>
  </si>
  <si>
    <t>Äpfingen</t>
  </si>
  <si>
    <t>Mittelbiberach</t>
  </si>
  <si>
    <t>Ummendorf</t>
  </si>
  <si>
    <t>Laupertshausen</t>
  </si>
  <si>
    <t>Schweinhausen</t>
  </si>
  <si>
    <t>Unteressendorf</t>
  </si>
  <si>
    <t>Sulmingen</t>
  </si>
  <si>
    <t>Stafflangen</t>
  </si>
  <si>
    <t>Biberach an der Riß</t>
  </si>
  <si>
    <t>Rißegg</t>
  </si>
  <si>
    <t>Ringschnait</t>
  </si>
  <si>
    <t>Zußdorf</t>
  </si>
  <si>
    <t>Wilhelmsdorf</t>
  </si>
  <si>
    <t>Taldorf</t>
  </si>
  <si>
    <t>Ravensburg</t>
  </si>
  <si>
    <t>Esenhausen</t>
  </si>
  <si>
    <t>Hasenweiler</t>
  </si>
  <si>
    <t>Horgenzell</t>
  </si>
  <si>
    <t>Pfrungen</t>
  </si>
  <si>
    <t>Berg</t>
  </si>
  <si>
    <t>Wolketsweiler</t>
  </si>
  <si>
    <t>Höhreute</t>
  </si>
  <si>
    <t>Schmalegg</t>
  </si>
  <si>
    <t>Baienfurt</t>
  </si>
  <si>
    <t>Baindt</t>
  </si>
  <si>
    <t>Fronhofen</t>
  </si>
  <si>
    <t>Fronreute</t>
  </si>
  <si>
    <t>Blitzenreute</t>
  </si>
  <si>
    <t>Wolpertswende</t>
  </si>
  <si>
    <t>Zogenweiler</t>
  </si>
  <si>
    <t>Eglofs</t>
  </si>
  <si>
    <t>Argenbühl</t>
  </si>
  <si>
    <t>Vogt</t>
  </si>
  <si>
    <t>Wolfegg</t>
  </si>
  <si>
    <t>Schomburg</t>
  </si>
  <si>
    <t>Wangen im Allgäu</t>
  </si>
  <si>
    <t>Gaisbeuren</t>
  </si>
  <si>
    <t>Bad Waldsee</t>
  </si>
  <si>
    <t>Kißlegg</t>
  </si>
  <si>
    <t>Neutrauchburg</t>
  </si>
  <si>
    <t>Isny im Allgäu</t>
  </si>
  <si>
    <t>Großholzleute</t>
  </si>
  <si>
    <t>Isny</t>
  </si>
  <si>
    <t>Siggen</t>
  </si>
  <si>
    <t>Ratzenried</t>
  </si>
  <si>
    <t>Göttlishofen</t>
  </si>
  <si>
    <t>Achberg</t>
  </si>
  <si>
    <t>Christazhofen</t>
  </si>
  <si>
    <t>Schlier</t>
  </si>
  <si>
    <t>Niederwangen</t>
  </si>
  <si>
    <t>Neuravensburg</t>
  </si>
  <si>
    <t>Leupolz</t>
  </si>
  <si>
    <t>Karsee</t>
  </si>
  <si>
    <t>Deuchelried</t>
  </si>
  <si>
    <t>Amtzell</t>
  </si>
  <si>
    <t>Bodnegg</t>
  </si>
  <si>
    <t>Grünkraut</t>
  </si>
  <si>
    <t>Waldburg</t>
  </si>
  <si>
    <t>Eisenharz</t>
  </si>
  <si>
    <t>Unterwaldhausen</t>
  </si>
  <si>
    <t>Michelwinnaden</t>
  </si>
  <si>
    <t>Mittelurbach</t>
  </si>
  <si>
    <t>Haisterkirch</t>
  </si>
  <si>
    <t>Waldsee</t>
  </si>
  <si>
    <t>Zollenreute</t>
  </si>
  <si>
    <t>Aulendorf</t>
  </si>
  <si>
    <t>Blönried</t>
  </si>
  <si>
    <t>Fleischwangen</t>
  </si>
  <si>
    <t>Bergatreute</t>
  </si>
  <si>
    <t>Riedhausen</t>
  </si>
  <si>
    <t>Wurzach</t>
  </si>
  <si>
    <t>Bad Wurzach</t>
  </si>
  <si>
    <t>Ebenweiler</t>
  </si>
  <si>
    <t>Königseggwald</t>
  </si>
  <si>
    <t>Altshausen</t>
  </si>
  <si>
    <t>Eichstegen</t>
  </si>
  <si>
    <t>Hüttenreute</t>
  </si>
  <si>
    <t>Hoßkirch</t>
  </si>
  <si>
    <t>Boms</t>
  </si>
  <si>
    <t>Musbach</t>
  </si>
  <si>
    <t>Ebersbach-Musbach</t>
  </si>
  <si>
    <t>Guggenhausen</t>
  </si>
  <si>
    <t>Aichstetten</t>
  </si>
  <si>
    <t>Wuchzenhofen</t>
  </si>
  <si>
    <t>Leutkirch im Allgäu</t>
  </si>
  <si>
    <t>Winterstetten</t>
  </si>
  <si>
    <t>Reichenhofen</t>
  </si>
  <si>
    <t>Hofs</t>
  </si>
  <si>
    <t>Herlazhofen</t>
  </si>
  <si>
    <t>Gebrazhofen</t>
  </si>
  <si>
    <t>Friesenhofen</t>
  </si>
  <si>
    <t>Diepoldshofen</t>
  </si>
  <si>
    <t>Altmannshofen</t>
  </si>
  <si>
    <t>Immenried</t>
  </si>
  <si>
    <t>Aitrach</t>
  </si>
  <si>
    <t>Ziegelbach</t>
  </si>
  <si>
    <t>Seibranz</t>
  </si>
  <si>
    <t>Hauerz</t>
  </si>
  <si>
    <t>Haidgau</t>
  </si>
  <si>
    <t>Gospoldshofen</t>
  </si>
  <si>
    <t>Eintürnen</t>
  </si>
  <si>
    <t>Dietmanns</t>
  </si>
  <si>
    <t>Arnach</t>
  </si>
  <si>
    <t>Leutkirch</t>
  </si>
  <si>
    <t>Ehestetten</t>
  </si>
  <si>
    <t>Hayingen</t>
  </si>
  <si>
    <t>Buttenhausen</t>
  </si>
  <si>
    <t>Münsingen</t>
  </si>
  <si>
    <t>Aichelau</t>
  </si>
  <si>
    <t>Pfronstetten</t>
  </si>
  <si>
    <t>Dapfen</t>
  </si>
  <si>
    <t>Gomadingen</t>
  </si>
  <si>
    <t>Steingebronn</t>
  </si>
  <si>
    <t>Apfelstetten</t>
  </si>
  <si>
    <t>Auingen</t>
  </si>
  <si>
    <t>Bichishausen</t>
  </si>
  <si>
    <t>Genkingen</t>
  </si>
  <si>
    <t>Sonnenbühl</t>
  </si>
  <si>
    <t>Bremelau</t>
  </si>
  <si>
    <t>Willmandingen</t>
  </si>
  <si>
    <t>Hundersingen</t>
  </si>
  <si>
    <t>Magolsheim</t>
  </si>
  <si>
    <t>Trailfingen</t>
  </si>
  <si>
    <t>Mehrstetten</t>
  </si>
  <si>
    <t>Römerstein</t>
  </si>
  <si>
    <t>Mittelstadt</t>
  </si>
  <si>
    <t>Reutlingen</t>
  </si>
  <si>
    <t>Oferdingen</t>
  </si>
  <si>
    <t>Ohmenhausen</t>
  </si>
  <si>
    <t>Reicheneck</t>
  </si>
  <si>
    <t>Rommelsbach</t>
  </si>
  <si>
    <t>Sickenhausen</t>
  </si>
  <si>
    <t>Eningen</t>
  </si>
  <si>
    <t>Eningen unter Achalm</t>
  </si>
  <si>
    <t>Hülben</t>
  </si>
  <si>
    <t>Kohlstetten</t>
  </si>
  <si>
    <t>Engstingen</t>
  </si>
  <si>
    <t>Donnstetten</t>
  </si>
  <si>
    <t>Zainingen</t>
  </si>
  <si>
    <t>Bad Urach</t>
  </si>
  <si>
    <t>Hengen</t>
  </si>
  <si>
    <t>Seeburg</t>
  </si>
  <si>
    <t>Sirchingen</t>
  </si>
  <si>
    <t>Undingen</t>
  </si>
  <si>
    <t>Grabenstetten</t>
  </si>
  <si>
    <t>Sonderbuch</t>
  </si>
  <si>
    <t>Zwiefalten</t>
  </si>
  <si>
    <t>Upfingen</t>
  </si>
  <si>
    <t>St. Johann</t>
  </si>
  <si>
    <t>Würtingen</t>
  </si>
  <si>
    <t>Pfullingen</t>
  </si>
  <si>
    <t>Holzelfingen</t>
  </si>
  <si>
    <t>Lichtenstein</t>
  </si>
  <si>
    <t>Unterhausen</t>
  </si>
  <si>
    <t>Erpfingen</t>
  </si>
  <si>
    <t>Großengstingen</t>
  </si>
  <si>
    <t>Upflamör</t>
  </si>
  <si>
    <t>Gächingen</t>
  </si>
  <si>
    <t>Mörsingen</t>
  </si>
  <si>
    <t>Gauingen</t>
  </si>
  <si>
    <t>Tigerfeld</t>
  </si>
  <si>
    <t>Huldstetten</t>
  </si>
  <si>
    <t>Gutsbezirk Münsingen</t>
  </si>
  <si>
    <t>Steinhilben</t>
  </si>
  <si>
    <t>Bronnweiler</t>
  </si>
  <si>
    <t>Bernloch</t>
  </si>
  <si>
    <t>Meidelstetten</t>
  </si>
  <si>
    <t>Ödenwaldstetten</t>
  </si>
  <si>
    <t>Ohnastetten</t>
  </si>
  <si>
    <t>Mägerkingen</t>
  </si>
  <si>
    <t>Lonsingen</t>
  </si>
  <si>
    <t>Wilsingen</t>
  </si>
  <si>
    <t>Anhausen</t>
  </si>
  <si>
    <t>Indelhausen</t>
  </si>
  <si>
    <t>Bleichstetten</t>
  </si>
  <si>
    <t>Kleinengstingen</t>
  </si>
  <si>
    <t>Walddorfhäslach</t>
  </si>
  <si>
    <t>Degerschlacht</t>
  </si>
  <si>
    <t>Gönningen</t>
  </si>
  <si>
    <t>Häslach</t>
  </si>
  <si>
    <t>Pliezhausen</t>
  </si>
  <si>
    <t>Dörnach</t>
  </si>
  <si>
    <t>Gniebel</t>
  </si>
  <si>
    <t>Rübgarten</t>
  </si>
  <si>
    <t>Grafenberg</t>
  </si>
  <si>
    <t>Metzingen</t>
  </si>
  <si>
    <t>Glems</t>
  </si>
  <si>
    <t>Dettingen an der Erms</t>
  </si>
  <si>
    <t>Wannweil</t>
  </si>
  <si>
    <t>Riederich</t>
  </si>
  <si>
    <t>Münzdorf</t>
  </si>
  <si>
    <t>Baisingen</t>
  </si>
  <si>
    <t>Rottenburg am Neckar</t>
  </si>
  <si>
    <t>Tübingen</t>
  </si>
  <si>
    <t>Unterjesingen</t>
  </si>
  <si>
    <t>Kusterdingen</t>
  </si>
  <si>
    <t>Immenhausen</t>
  </si>
  <si>
    <t>Jettenburg</t>
  </si>
  <si>
    <t>Mähringen</t>
  </si>
  <si>
    <t>Rottenburg</t>
  </si>
  <si>
    <t>Lustnau</t>
  </si>
  <si>
    <t>Reusten</t>
  </si>
  <si>
    <t>Ammerbuch</t>
  </si>
  <si>
    <t>Wankheim</t>
  </si>
  <si>
    <t>Kirchentellinsfurt</t>
  </si>
  <si>
    <t>Dettenhausen</t>
  </si>
  <si>
    <t>Altingen</t>
  </si>
  <si>
    <t>Breitenholz</t>
  </si>
  <si>
    <t>Entringen</t>
  </si>
  <si>
    <t>Pfäffingen</t>
  </si>
  <si>
    <t>Seebronn</t>
  </si>
  <si>
    <t>Kilchberg</t>
  </si>
  <si>
    <t>Eckenweiler</t>
  </si>
  <si>
    <t>Bebenhausen</t>
  </si>
  <si>
    <t>Derendingen</t>
  </si>
  <si>
    <t>Hagelloch</t>
  </si>
  <si>
    <t>Hirschau</t>
  </si>
  <si>
    <t>Poltringen</t>
  </si>
  <si>
    <t>Bierlingen</t>
  </si>
  <si>
    <t>Starzach</t>
  </si>
  <si>
    <t>Bodelshausen</t>
  </si>
  <si>
    <t>Mössingen</t>
  </si>
  <si>
    <t>Öschingen</t>
  </si>
  <si>
    <t>Ofterdingen</t>
  </si>
  <si>
    <t>Nehren</t>
  </si>
  <si>
    <t>Dußlingen</t>
  </si>
  <si>
    <t>Gomaringen</t>
  </si>
  <si>
    <t>Hirrlingen</t>
  </si>
  <si>
    <t>Wachendorf</t>
  </si>
  <si>
    <t>Sulzau</t>
  </si>
  <si>
    <t>Börstingen</t>
  </si>
  <si>
    <t>Ergenzingen</t>
  </si>
  <si>
    <t>Wolfenhausen</t>
  </si>
  <si>
    <t>Neustetten</t>
  </si>
  <si>
    <t>Remmingsheim</t>
  </si>
  <si>
    <t>Nellingsheim</t>
  </si>
  <si>
    <t>Wendelsheim</t>
  </si>
  <si>
    <t>Schwalldorf</t>
  </si>
  <si>
    <t>Obernau</t>
  </si>
  <si>
    <t>Niedernau</t>
  </si>
  <si>
    <t>Kiebingen</t>
  </si>
  <si>
    <t>Hemmendorf</t>
  </si>
  <si>
    <t>Hailfingen</t>
  </si>
  <si>
    <t>Frommenhausen</t>
  </si>
  <si>
    <t>Felldorf</t>
  </si>
  <si>
    <t>Ringgenbach</t>
  </si>
  <si>
    <t>Meßkirch</t>
  </si>
  <si>
    <t>Scheer</t>
  </si>
  <si>
    <t>Sauldorf</t>
  </si>
  <si>
    <t>Rast</t>
  </si>
  <si>
    <t>Rengetsweiler</t>
  </si>
  <si>
    <t>Menningen</t>
  </si>
  <si>
    <t>Langenhart</t>
  </si>
  <si>
    <t>Igelswies</t>
  </si>
  <si>
    <t>Kreenheinstetten</t>
  </si>
  <si>
    <t>Leibertingen</t>
  </si>
  <si>
    <t>Tafertsweiler</t>
  </si>
  <si>
    <t>Ostrach</t>
  </si>
  <si>
    <t>Mieterkingen</t>
  </si>
  <si>
    <t>Herbertingen</t>
  </si>
  <si>
    <t>Völlkofen</t>
  </si>
  <si>
    <t>Ursendorf</t>
  </si>
  <si>
    <t>Ölkofen</t>
  </si>
  <si>
    <t>Heudorf/Scheer</t>
  </si>
  <si>
    <t>Enzkofen</t>
  </si>
  <si>
    <t>Bremen</t>
  </si>
  <si>
    <t>Rulfingen</t>
  </si>
  <si>
    <t>Rosna</t>
  </si>
  <si>
    <t>Ennetach</t>
  </si>
  <si>
    <t>Blochingen</t>
  </si>
  <si>
    <t>Saulgau</t>
  </si>
  <si>
    <t>Günzkofen</t>
  </si>
  <si>
    <t>Riedetsweiler</t>
  </si>
  <si>
    <t>Wald</t>
  </si>
  <si>
    <t>Magenbuch</t>
  </si>
  <si>
    <t>Pfullendorf</t>
  </si>
  <si>
    <t>Gaisweiler</t>
  </si>
  <si>
    <t>Großstadelhofen</t>
  </si>
  <si>
    <t>Mottschieß</t>
  </si>
  <si>
    <t>Glashuette/Wald</t>
  </si>
  <si>
    <t>Hippetsweiler</t>
  </si>
  <si>
    <t>Reischach</t>
  </si>
  <si>
    <t>Rothenlachen</t>
  </si>
  <si>
    <t>Ruhestetten</t>
  </si>
  <si>
    <t>Sentenhart</t>
  </si>
  <si>
    <t>Walbertsweiler</t>
  </si>
  <si>
    <t>Großschönach</t>
  </si>
  <si>
    <t>Herdwangen-Schönach</t>
  </si>
  <si>
    <t>Herdwangen</t>
  </si>
  <si>
    <t>Illmensee</t>
  </si>
  <si>
    <t>Illwangen</t>
  </si>
  <si>
    <t>Ruschweiler</t>
  </si>
  <si>
    <t>Bolstern</t>
  </si>
  <si>
    <t>Braunenweiler</t>
  </si>
  <si>
    <t>Friedberg</t>
  </si>
  <si>
    <t>Fulgenstadt</t>
  </si>
  <si>
    <t>Großtissen</t>
  </si>
  <si>
    <t>Haid</t>
  </si>
  <si>
    <t>Hochberg/Saulgau</t>
  </si>
  <si>
    <t>Lampertsweiler</t>
  </si>
  <si>
    <t>Moosheim</t>
  </si>
  <si>
    <t>Aach-Linz</t>
  </si>
  <si>
    <t>Wolfartsweiler</t>
  </si>
  <si>
    <t>Bierstetten</t>
  </si>
  <si>
    <t>Burgweiler</t>
  </si>
  <si>
    <t>Einhart</t>
  </si>
  <si>
    <t>Habsthal</t>
  </si>
  <si>
    <t>Jettkofen</t>
  </si>
  <si>
    <t>Kalkreute</t>
  </si>
  <si>
    <t>Laubbach</t>
  </si>
  <si>
    <t>Levertsweiler</t>
  </si>
  <si>
    <t>Thalheim</t>
  </si>
  <si>
    <t>Renhardsweiler</t>
  </si>
  <si>
    <t>Hermentingen</t>
  </si>
  <si>
    <t>Veringenstadt</t>
  </si>
  <si>
    <t>Bingen</t>
  </si>
  <si>
    <t>Hitzkofen</t>
  </si>
  <si>
    <t>Storzingen</t>
  </si>
  <si>
    <t>Stetten am kalten Markt</t>
  </si>
  <si>
    <t>Glashütte</t>
  </si>
  <si>
    <t>Frohnstetten</t>
  </si>
  <si>
    <t>Hornstein</t>
  </si>
  <si>
    <t>Veringendorf</t>
  </si>
  <si>
    <t>Kettenacker</t>
  </si>
  <si>
    <t>Gammertingen</t>
  </si>
  <si>
    <t>Inneringen</t>
  </si>
  <si>
    <t>Dietershofen</t>
  </si>
  <si>
    <t>Feldhausen</t>
  </si>
  <si>
    <t>Sigmaringen</t>
  </si>
  <si>
    <t>Hausen/Krauchenwies</t>
  </si>
  <si>
    <t>Krauchenwies</t>
  </si>
  <si>
    <t>Ettisweiler</t>
  </si>
  <si>
    <t>Bittelschieß</t>
  </si>
  <si>
    <t>Ablach</t>
  </si>
  <si>
    <t>Vilsingen</t>
  </si>
  <si>
    <t>Inzigkofen</t>
  </si>
  <si>
    <t>Oberschmeien</t>
  </si>
  <si>
    <t>Jungnau</t>
  </si>
  <si>
    <t>Engelswies</t>
  </si>
  <si>
    <t>Gutenstein</t>
  </si>
  <si>
    <t>Laiz</t>
  </si>
  <si>
    <t>Unterschmeien</t>
  </si>
  <si>
    <t>Beuron</t>
  </si>
  <si>
    <t>Sigmaringendorf</t>
  </si>
  <si>
    <t>Wintersulgen</t>
  </si>
  <si>
    <t>Heiligenberg</t>
  </si>
  <si>
    <t>Neufrach</t>
  </si>
  <si>
    <t>Salem</t>
  </si>
  <si>
    <t>Leustetten</t>
  </si>
  <si>
    <t>Buggensegel</t>
  </si>
  <si>
    <t>Grasbeuren</t>
  </si>
  <si>
    <t>Mittelstenweiler</t>
  </si>
  <si>
    <t>Oberstenweiler</t>
  </si>
  <si>
    <t>Hattenweiler</t>
  </si>
  <si>
    <t>Taisersdorf</t>
  </si>
  <si>
    <t>Tüfingen</t>
  </si>
  <si>
    <t>Mimmenhausen</t>
  </si>
  <si>
    <t>Bambergen</t>
  </si>
  <si>
    <t>Roggenbeuren</t>
  </si>
  <si>
    <t>Deggenhausertal</t>
  </si>
  <si>
    <t>Kressbronn</t>
  </si>
  <si>
    <t>Kressbronn am Bodensee</t>
  </si>
  <si>
    <t>Sipplingen</t>
  </si>
  <si>
    <t>Deisendorf</t>
  </si>
  <si>
    <t>Hödingen</t>
  </si>
  <si>
    <t>Lippertsreute</t>
  </si>
  <si>
    <t>Nesselwangen</t>
  </si>
  <si>
    <t>Nußdorf</t>
  </si>
  <si>
    <t>Hohenbodman</t>
  </si>
  <si>
    <t>Kehlen</t>
  </si>
  <si>
    <t>Meckenbeuren</t>
  </si>
  <si>
    <t>Hagnau</t>
  </si>
  <si>
    <t>Hagnau am Bodensee</t>
  </si>
  <si>
    <t>Immenstaad</t>
  </si>
  <si>
    <t>Immenstaad am Bodensee</t>
  </si>
  <si>
    <t>Kippenhausen</t>
  </si>
  <si>
    <t>Friedrichshafen</t>
  </si>
  <si>
    <t>Ailingen</t>
  </si>
  <si>
    <t>Ettenkirch</t>
  </si>
  <si>
    <t>Eriskirch</t>
  </si>
  <si>
    <t>Kluftern</t>
  </si>
  <si>
    <t>Tettnang</t>
  </si>
  <si>
    <t>Langnau</t>
  </si>
  <si>
    <t>Tannau</t>
  </si>
  <si>
    <t>Homberg</t>
  </si>
  <si>
    <t>Deggenhausen</t>
  </si>
  <si>
    <t>Langenargen</t>
  </si>
  <si>
    <t>Raderach</t>
  </si>
  <si>
    <t>Markdorf</t>
  </si>
  <si>
    <t>Baitenhausen</t>
  </si>
  <si>
    <t>Meersburg</t>
  </si>
  <si>
    <t>Urnau</t>
  </si>
  <si>
    <t>Oberteuringen</t>
  </si>
  <si>
    <t>Untersiggingen</t>
  </si>
  <si>
    <t>Ittendorf</t>
  </si>
  <si>
    <t>Daisendorf</t>
  </si>
  <si>
    <t>Ahausen</t>
  </si>
  <si>
    <t>Bermatingen</t>
  </si>
  <si>
    <t>Mühlhofen</t>
  </si>
  <si>
    <t>Uhldingen-Mühlhofen</t>
  </si>
  <si>
    <t>Oberuhldingen</t>
  </si>
  <si>
    <t>Unteruhldingen</t>
  </si>
  <si>
    <t>Wittenhofen</t>
  </si>
  <si>
    <t>Schaiblishausen</t>
  </si>
  <si>
    <t>Ehingen (Donau)</t>
  </si>
  <si>
    <t>Rißtissen</t>
  </si>
  <si>
    <t>Nasgenstadt</t>
  </si>
  <si>
    <t>Kirchen</t>
  </si>
  <si>
    <t>Schnürpflingen</t>
  </si>
  <si>
    <t>Volkersheim</t>
  </si>
  <si>
    <t>Heufelden</t>
  </si>
  <si>
    <t>Kirchbierlingen</t>
  </si>
  <si>
    <t>Oberdischingen</t>
  </si>
  <si>
    <t>Öpfingen</t>
  </si>
  <si>
    <t>Griesingen</t>
  </si>
  <si>
    <t>Oberkirchberg</t>
  </si>
  <si>
    <t>Illerkirchberg</t>
  </si>
  <si>
    <t>Unterkirchberg</t>
  </si>
  <si>
    <t>Hüttisheim</t>
  </si>
  <si>
    <t>Altheim/Staig</t>
  </si>
  <si>
    <t>Staig</t>
  </si>
  <si>
    <t>Steinberg</t>
  </si>
  <si>
    <t>Illerrieden</t>
  </si>
  <si>
    <t>Moosbeuren</t>
  </si>
  <si>
    <t>Oberstadion</t>
  </si>
  <si>
    <t>Allmendingen</t>
  </si>
  <si>
    <t>Weilersteußlingen</t>
  </si>
  <si>
    <t>Erbach</t>
  </si>
  <si>
    <t>Dellmensingen</t>
  </si>
  <si>
    <t>Donaurieden</t>
  </si>
  <si>
    <t>Bach</t>
  </si>
  <si>
    <t>Herbertshofen</t>
  </si>
  <si>
    <t>Altbierlingen</t>
  </si>
  <si>
    <t>Altsteußlingen</t>
  </si>
  <si>
    <t>Dächingen</t>
  </si>
  <si>
    <t>Frankenhofen</t>
  </si>
  <si>
    <t>Gamerschwang</t>
  </si>
  <si>
    <t>Granheim</t>
  </si>
  <si>
    <t>Oppingen</t>
  </si>
  <si>
    <t>Albeck</t>
  </si>
  <si>
    <t>Göttingen</t>
  </si>
  <si>
    <t>Hörvelsingen</t>
  </si>
  <si>
    <t>Westerstetten</t>
  </si>
  <si>
    <t>Beimerstetten</t>
  </si>
  <si>
    <t>Dornstadt</t>
  </si>
  <si>
    <t>Bollingen</t>
  </si>
  <si>
    <t>Scharenstetten</t>
  </si>
  <si>
    <t>Temmenhausen</t>
  </si>
  <si>
    <t>Asselfingen</t>
  </si>
  <si>
    <t>Rammingen</t>
  </si>
  <si>
    <t>Westerheim</t>
  </si>
  <si>
    <t>Laichingen</t>
  </si>
  <si>
    <t>Feldstetten</t>
  </si>
  <si>
    <t>Machtolsheim</t>
  </si>
  <si>
    <t>Suppingen</t>
  </si>
  <si>
    <t>Ennabeuren</t>
  </si>
  <si>
    <t>Heroldstatt</t>
  </si>
  <si>
    <t>Arnegg</t>
  </si>
  <si>
    <t>Blaustein</t>
  </si>
  <si>
    <t>Bermaringen</t>
  </si>
  <si>
    <t>Ehrenstein</t>
  </si>
  <si>
    <t>Tomerdingen</t>
  </si>
  <si>
    <t>Urspring</t>
  </si>
  <si>
    <t>Lonsee</t>
  </si>
  <si>
    <t>Amstetten</t>
  </si>
  <si>
    <t>Bräunisheim</t>
  </si>
  <si>
    <t>Hofstett-Emerbuch</t>
  </si>
  <si>
    <t>Reutti</t>
  </si>
  <si>
    <t>Schalkstetten</t>
  </si>
  <si>
    <t>Stubersheim</t>
  </si>
  <si>
    <t>Ettlenschieß</t>
  </si>
  <si>
    <t>Halzhausen</t>
  </si>
  <si>
    <t>Radelstetten</t>
  </si>
  <si>
    <t>Markbronn</t>
  </si>
  <si>
    <t>Altheim/Alb</t>
  </si>
  <si>
    <t>Altheim (Alb)</t>
  </si>
  <si>
    <t>Weidenstetten</t>
  </si>
  <si>
    <t>Ballendorf</t>
  </si>
  <si>
    <t>Setzingen</t>
  </si>
  <si>
    <t>Börslingen</t>
  </si>
  <si>
    <t>Neenstetten</t>
  </si>
  <si>
    <t>Holzkirch</t>
  </si>
  <si>
    <t>Breitingen</t>
  </si>
  <si>
    <t>Bernstadt</t>
  </si>
  <si>
    <t>Nerenstetten</t>
  </si>
  <si>
    <t>Öllingen</t>
  </si>
  <si>
    <t>Luizhausen</t>
  </si>
  <si>
    <t>Obermarchtal</t>
  </si>
  <si>
    <t>Einsingen</t>
  </si>
  <si>
    <t>Donaustetten</t>
  </si>
  <si>
    <t>Grundsheim</t>
  </si>
  <si>
    <t>Mundeldingen</t>
  </si>
  <si>
    <t>Unterwachingen</t>
  </si>
  <si>
    <t>Unterstadion</t>
  </si>
  <si>
    <t>Emerkingen</t>
  </si>
  <si>
    <t>Herrlingen</t>
  </si>
  <si>
    <t>Reutlingendorf</t>
  </si>
  <si>
    <t>Rottenacker</t>
  </si>
  <si>
    <t>Munderkingen</t>
  </si>
  <si>
    <t>Untermarchtal</t>
  </si>
  <si>
    <t>Emeringen</t>
  </si>
  <si>
    <t>Rechtenstein</t>
  </si>
  <si>
    <t>Lauterach</t>
  </si>
  <si>
    <t>Unterbalzheim</t>
  </si>
  <si>
    <t>Balzheim</t>
  </si>
  <si>
    <t>Oberbalzheim</t>
  </si>
  <si>
    <t>Regglisweiler</t>
  </si>
  <si>
    <t>Dietenheim</t>
  </si>
  <si>
    <t>Hausen am Bussen</t>
  </si>
  <si>
    <t>Hausen/Schelklingen</t>
  </si>
  <si>
    <t>Schelklingen</t>
  </si>
  <si>
    <t>Dorndorf</t>
  </si>
  <si>
    <t>Wippingen</t>
  </si>
  <si>
    <t>Berghülen</t>
  </si>
  <si>
    <t>Bühlenhausen</t>
  </si>
  <si>
    <t>Blaubeuren</t>
  </si>
  <si>
    <t>Asch</t>
  </si>
  <si>
    <t>Beiningen</t>
  </si>
  <si>
    <t>Pappelau</t>
  </si>
  <si>
    <t>Seißen</t>
  </si>
  <si>
    <t>Ermingen</t>
  </si>
  <si>
    <t>Gundershofen</t>
  </si>
  <si>
    <t>Gögglingen</t>
  </si>
  <si>
    <t>Ingstetten</t>
  </si>
  <si>
    <t>Justingen</t>
  </si>
  <si>
    <t>Schmiechen</t>
  </si>
  <si>
    <t>Sondernach</t>
  </si>
  <si>
    <t>Ennahofen</t>
  </si>
  <si>
    <t>Unterweiler</t>
  </si>
  <si>
    <t>Lehr</t>
  </si>
  <si>
    <t>Klingenstein</t>
  </si>
  <si>
    <t>Vergleichsgebiete</t>
  </si>
  <si>
    <t>bitte auswählen !!</t>
  </si>
  <si>
    <t>Kulturuntergruppe</t>
  </si>
  <si>
    <t>Grünland_Bodenart_Abschlag</t>
  </si>
  <si>
    <t>kg N/ha</t>
  </si>
  <si>
    <t>Sehr schwach bis stark humose Grünlandböden (weniger als 8 % organische Substanz)</t>
  </si>
  <si>
    <t>Grünland</t>
  </si>
  <si>
    <t>Stark bis sehr stark humose Grünlandböden (8 % bis 14,9 % organische Substanz)</t>
  </si>
  <si>
    <t>Anmoorige Grünlandböden (15 % bis 29,9 % organische Substanz)</t>
  </si>
  <si>
    <t>Hochmoor (mehr als 30 % organisch Substanz)</t>
  </si>
  <si>
    <t>Niedermoor (mehr als 30 % organisch Substanz)</t>
  </si>
  <si>
    <t>Ackergras (ohne Legumiosen)</t>
  </si>
  <si>
    <t>Feldfutterbau</t>
  </si>
  <si>
    <t>Rotklee/Luzerne in Reinkultur</t>
  </si>
  <si>
    <t>8,1 bis 15,0 %</t>
  </si>
  <si>
    <t>15,1 bis 30 %</t>
  </si>
  <si>
    <t>zur Erreichung und Erhaltung des optimalen pH-Bereiches. Die empfohlenen Gaben beinhalten den Kalkbedarf bis zur nächsten</t>
  </si>
  <si>
    <t>schwach lehmiger Sand</t>
  </si>
  <si>
    <t>Stark lehmiger Sand</t>
  </si>
  <si>
    <t>sandig. bis schluffiger Lehm</t>
  </si>
  <si>
    <t>schwach toniger Lehm bis Ton</t>
  </si>
  <si>
    <t>pH-Klasse</t>
  </si>
  <si>
    <t>pH</t>
  </si>
  <si>
    <t>dt CaO/ha</t>
  </si>
  <si>
    <t>ph-Klasse</t>
  </si>
  <si>
    <t>A</t>
  </si>
  <si>
    <t>&lt;=3,5</t>
  </si>
  <si>
    <t>&lt;=3,8</t>
  </si>
  <si>
    <t>&lt;=4</t>
  </si>
  <si>
    <t>&lt;=4,2</t>
  </si>
  <si>
    <t>B</t>
  </si>
  <si>
    <t>C</t>
  </si>
  <si>
    <t>D</t>
  </si>
  <si>
    <t>E</t>
  </si>
  <si>
    <t xml:space="preserve"> &gt;5,6</t>
  </si>
  <si>
    <t>&gt;6,1</t>
  </si>
  <si>
    <t>&gt;6,5</t>
  </si>
  <si>
    <t>&gt;6,8</t>
  </si>
  <si>
    <t>&gt;7,0</t>
  </si>
  <si>
    <t>Ergebnis:</t>
  </si>
  <si>
    <t>SUMME</t>
  </si>
  <si>
    <t>Vorgabe max. Einzelgabe</t>
  </si>
  <si>
    <t>Prog.hinw.: :Daten für nicht rechenfähiges Objekt; "&gt;" liegt über der eigentlichen Zahl</t>
  </si>
  <si>
    <t>Ergebnis max. Einzelgabe</t>
  </si>
  <si>
    <t>dt/ha max. Einzelgabe</t>
  </si>
  <si>
    <t>max. CaO-Menge je Aufbringung</t>
  </si>
  <si>
    <t>eingegebene Bodenart</t>
  </si>
  <si>
    <t>Sand, S</t>
  </si>
  <si>
    <t>eingegebener Humusgehalt</t>
  </si>
  <si>
    <t>schwach lehmiger Sand, l'S</t>
  </si>
  <si>
    <t>eingegebener pH-Wert</t>
  </si>
  <si>
    <t>stark lehmiger Sand, lS</t>
  </si>
  <si>
    <t>Ergebnis Kalkmenge</t>
  </si>
  <si>
    <t>dt / ha</t>
  </si>
  <si>
    <t xml:space="preserve">sandiger bis schluffiger Lehm, </t>
  </si>
  <si>
    <t>maximale Einzelgabe:</t>
  </si>
  <si>
    <t>schwach toniger Lehm bis Ton, t´L, tL, lT, T</t>
  </si>
  <si>
    <t>Ergebnis pH-Klasse</t>
  </si>
  <si>
    <t>Moor, M</t>
  </si>
  <si>
    <t>Schwere</t>
  </si>
  <si>
    <t>Min. Boden AZ &lt;40</t>
  </si>
  <si>
    <t>Min. Boden AZ 40 - 60</t>
  </si>
  <si>
    <t>Min. Boden AZ &gt; 60</t>
  </si>
  <si>
    <t>Anmoor</t>
  </si>
  <si>
    <t>Moor</t>
  </si>
  <si>
    <t>ph-Wert</t>
  </si>
  <si>
    <t>Winterweizen 12 % RP ( C)</t>
  </si>
  <si>
    <t>Winterweizen 14 % RP (A, B)</t>
  </si>
  <si>
    <t>Winterweizen  16 % RP (E)</t>
  </si>
  <si>
    <t>Brauweizen</t>
  </si>
  <si>
    <t>Sommerweizen 14 % RP</t>
  </si>
  <si>
    <t>Sommerweizen 16 % RP</t>
  </si>
  <si>
    <t>Winterfuttergerste 13 % RP</t>
  </si>
  <si>
    <t>Winterbraugerste 10 % RP</t>
  </si>
  <si>
    <t>Sommerfuttergerste 13 % RP</t>
  </si>
  <si>
    <t>Sommerbraugerste 10 % RP</t>
  </si>
  <si>
    <t>Winterroggen 11 % RP</t>
  </si>
  <si>
    <t>Sommerroggen 11 % RP</t>
  </si>
  <si>
    <t>Hafer 11 % RP</t>
  </si>
  <si>
    <t>Dinkel mit Vesen</t>
  </si>
  <si>
    <t>Hartweizen (Durumweizen) 15 % RP</t>
  </si>
  <si>
    <t>Gemenge</t>
  </si>
  <si>
    <t>Winterraps</t>
  </si>
  <si>
    <t>Körnersenf</t>
  </si>
  <si>
    <t>Sommerraps</t>
  </si>
  <si>
    <t>Sonnenblumen (Korn)</t>
  </si>
  <si>
    <t>Öllein</t>
  </si>
  <si>
    <t>Winterrübsen</t>
  </si>
  <si>
    <t>Sommerrübsen</t>
  </si>
  <si>
    <t>Ölrettich</t>
  </si>
  <si>
    <t>Ackerbohnen Körner</t>
  </si>
  <si>
    <t>Buschbohnen Körner</t>
  </si>
  <si>
    <t>Erbsen Körner</t>
  </si>
  <si>
    <t>Süßlupinen</t>
  </si>
  <si>
    <t>Sojabohnen</t>
  </si>
  <si>
    <t>Esparsette</t>
  </si>
  <si>
    <t>Wicken</t>
  </si>
  <si>
    <t>Frühkartoffeln</t>
  </si>
  <si>
    <t>Kartoffeln, ab mittelfrüh</t>
  </si>
  <si>
    <t>Gehaltsrüben</t>
  </si>
  <si>
    <t>Futtermassenrüben</t>
  </si>
  <si>
    <t>Zuckerrüben</t>
  </si>
  <si>
    <t>Zuckerhirse (Milch- bis Teigreife der Körner)</t>
  </si>
  <si>
    <t>Körnerhirse</t>
  </si>
  <si>
    <t>Grünroggen</t>
  </si>
  <si>
    <t>Ganzpflanze Weizen (Milch- bis Teigreife)</t>
  </si>
  <si>
    <t>Ganzpflanze Triticale (Milch- bis Teigreife)</t>
  </si>
  <si>
    <t>Ganzpflanze Hafer (Milchreife)</t>
  </si>
  <si>
    <t>Ganzpflanze Sonnenblumen (Zitronenreife)</t>
  </si>
  <si>
    <t xml:space="preserve">Sonnenblumen/Mais (Ganzpflanze) </t>
  </si>
  <si>
    <t>Hopfen</t>
  </si>
  <si>
    <t>Hanf (Ganzpflanze)</t>
  </si>
  <si>
    <t>Miscanthus</t>
  </si>
  <si>
    <t>Topinambur</t>
  </si>
  <si>
    <t>Lein, Faserlein, Flachs</t>
  </si>
  <si>
    <t>Phacelia</t>
  </si>
  <si>
    <t>Tabak, Virgin</t>
  </si>
  <si>
    <t>Bezeichnung</t>
  </si>
  <si>
    <t>N_Bedarf_Tab</t>
  </si>
  <si>
    <t>Grünland 1 Schnitt</t>
  </si>
  <si>
    <t>Grünland 2 Schnitte</t>
  </si>
  <si>
    <t>Grünland 3 Schnitte</t>
  </si>
  <si>
    <t>Grünland 4 Schnitte</t>
  </si>
  <si>
    <t>Grünland 5 Schnitte</t>
  </si>
  <si>
    <t>Grünland 6 Schnitte</t>
  </si>
  <si>
    <t>Weide intensiv</t>
  </si>
  <si>
    <t>Mähweide, 60% Weideanteil</t>
  </si>
  <si>
    <t>Mähweide, 20% Weideanteil</t>
  </si>
  <si>
    <t>Weide extensiv</t>
  </si>
  <si>
    <t>Ackergras (5 Schnitte/Jahr)</t>
  </si>
  <si>
    <t>Ackergras (3 - 4 Schnitte/Jahr)</t>
  </si>
  <si>
    <t>Klee-/Luzernegras (3 – 4 Schnitte/Jahr)</t>
  </si>
  <si>
    <t>Zuschlag_nicht_erntbar</t>
  </si>
  <si>
    <t>Ertrag_Tab</t>
  </si>
  <si>
    <t>Ertrag_Diff_Tab</t>
  </si>
  <si>
    <t>Ertrag_Zuschlag_Tab</t>
  </si>
  <si>
    <t>Zuschlag_Max</t>
  </si>
  <si>
    <t>Ertrag_Abschlag_Tab</t>
  </si>
  <si>
    <t>Rohproteingehalt_Tab</t>
  </si>
  <si>
    <t>Rohprotein_AbZu_Tab</t>
  </si>
  <si>
    <t>Mindestertrag</t>
  </si>
  <si>
    <t>Höchstertrag</t>
  </si>
  <si>
    <t>Höchstdüngemenge</t>
  </si>
  <si>
    <t>Mindestdüngermenge</t>
  </si>
  <si>
    <t>Kulturgruppe</t>
  </si>
  <si>
    <t>kulturgruppe</t>
  </si>
  <si>
    <t>sandiger bis schluffiger Lehm, sL - uL</t>
  </si>
  <si>
    <t>0 - 4 %</t>
  </si>
  <si>
    <t>mittel</t>
  </si>
  <si>
    <t>untere Grenze</t>
  </si>
  <si>
    <t>obere Grenze</t>
  </si>
  <si>
    <t>schwach lehmiger Sand,l'S</t>
  </si>
  <si>
    <t>schwach toniger Lehm bis Ton, t'L,tL,lT,T</t>
  </si>
  <si>
    <t>Moor, Mo</t>
  </si>
  <si>
    <t>%</t>
  </si>
  <si>
    <t>WD</t>
  </si>
  <si>
    <t>kg/t</t>
  </si>
  <si>
    <t>t/ha</t>
  </si>
  <si>
    <t>Festmist Rinder, Acker</t>
  </si>
  <si>
    <t>Festmist Schafe</t>
  </si>
  <si>
    <t>Festmist Pferde</t>
  </si>
  <si>
    <t>Kaninchenfestmist</t>
  </si>
  <si>
    <t>Hühnermist (Einstreu)</t>
  </si>
  <si>
    <t>Hühnertrockenkot</t>
  </si>
  <si>
    <t>kg/m³</t>
  </si>
  <si>
    <t>m³/ha</t>
  </si>
  <si>
    <t>Jauche Rinder</t>
  </si>
  <si>
    <t>Klärschlamm flüssig (&lt; 15 % TM)</t>
  </si>
  <si>
    <t>Klärschlamm fest (≥ 15 % TM)</t>
  </si>
  <si>
    <t>Pilzsubstrat</t>
  </si>
  <si>
    <t>Grünschnittkomposte</t>
  </si>
  <si>
    <t>Hornmehl</t>
  </si>
  <si>
    <t>org.HD</t>
  </si>
  <si>
    <t>kg/dt</t>
  </si>
  <si>
    <t>dt/ha</t>
  </si>
  <si>
    <t>Horngrieß</t>
  </si>
  <si>
    <t>Rizinusschrot</t>
  </si>
  <si>
    <t>Maltaflor</t>
  </si>
  <si>
    <t xml:space="preserve">Phyto – Perls </t>
  </si>
  <si>
    <t>Traubentrester</t>
  </si>
  <si>
    <t>Blutmehl</t>
  </si>
  <si>
    <t>Fleischknochenmehl</t>
  </si>
  <si>
    <t>Durchschnitt der letzten 3 Jahre</t>
  </si>
  <si>
    <t>ausgewählt:</t>
  </si>
  <si>
    <t>tatsächlicher Durchschnittsertrag</t>
  </si>
  <si>
    <t>dt</t>
  </si>
  <si>
    <t>Zuschlag Max</t>
  </si>
  <si>
    <t>dt TM/ha</t>
  </si>
  <si>
    <t>N-Bedarf Tabellenwert</t>
  </si>
  <si>
    <t>auswählen !</t>
  </si>
  <si>
    <t>Grünland: größer 20 %</t>
  </si>
  <si>
    <t>Grünland: 0 bis 10 %</t>
  </si>
  <si>
    <t>Grünland: 11 – 20 %</t>
  </si>
  <si>
    <t>Klee-/Luzernegras: 10 - 20 %</t>
  </si>
  <si>
    <t>Klee-/Luzernegras: 21 - 30 %</t>
  </si>
  <si>
    <t>Klee-/Luzernegras: 31 - 40 %</t>
  </si>
  <si>
    <t xml:space="preserve">Klee-/Luzernegras: 41 - 50 % </t>
  </si>
  <si>
    <t xml:space="preserve">Klee-/Luzernegras: 51 - 60 % </t>
  </si>
  <si>
    <t>Klee-/Luzernegras: 61 - 70 %</t>
  </si>
  <si>
    <t>Klee-/Luzernegras: 71 - 80 %</t>
  </si>
  <si>
    <t>Klee-/Luzernegras: 81 - 90 %</t>
  </si>
  <si>
    <t>Ertr.anteil Legumin.</t>
  </si>
  <si>
    <t>Klee-/Luzernegras unter 10 %</t>
  </si>
  <si>
    <r>
      <t>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/K</t>
    </r>
    <r>
      <rPr>
        <vertAlign val="subscript"/>
        <sz val="11"/>
        <color theme="1"/>
        <rFont val="Arial"/>
        <family val="2"/>
      </rPr>
      <t>2</t>
    </r>
    <r>
      <rPr>
        <sz val="11"/>
        <color theme="1"/>
        <rFont val="Arial"/>
        <family val="2"/>
      </rPr>
      <t>O/MgO-Bedarf [kg.../ha]</t>
    </r>
  </si>
  <si>
    <t>Leguminosenanteil-Text</t>
  </si>
  <si>
    <t>Abschlag-Wert</t>
  </si>
  <si>
    <t>gefilterte Dropdownboxen</t>
  </si>
  <si>
    <t>Nr.</t>
  </si>
  <si>
    <t>ausgewählt</t>
  </si>
  <si>
    <t>Zuschlag errechnet</t>
  </si>
  <si>
    <t>Abschlag errechnet</t>
  </si>
  <si>
    <t>Tabellenwert Ertrag_Diff-Tab</t>
  </si>
  <si>
    <t>Tabellenwert Ertrag (Tab)</t>
  </si>
  <si>
    <t>tatsächliche Ertragsdifferenz (ABSolut)</t>
  </si>
  <si>
    <t>Zuschlag-/Abschlagsfaktor (abgerundet)</t>
  </si>
  <si>
    <t>Ergebnis Zu-oder Abschlag</t>
  </si>
  <si>
    <t>Zu-Abschlagsfaktor Nr.4 / Nr.5 ungerundet</t>
  </si>
  <si>
    <t>entfällt vorerst kk</t>
  </si>
  <si>
    <t>Ertragskorrigierter N-bedarfswert</t>
  </si>
  <si>
    <t>Zuschlag -Ertrag (lt.Tabelle)</t>
  </si>
  <si>
    <t>Abschlag-Ertrag (lt. TabelleTab)</t>
  </si>
  <si>
    <t>Tabellenwert Rohprotein (lt. Tabelle)</t>
  </si>
  <si>
    <t>tatsächlicher DurchschnittsRohproteingehalt</t>
  </si>
  <si>
    <t>tatsächliche Rohproteindifferenz (ABSolut)</t>
  </si>
  <si>
    <t>Tabellenwert Rohprotein_Diff-Tab</t>
  </si>
  <si>
    <t>Zuschlag - Rohprotein (lt.Tabelle)</t>
  </si>
  <si>
    <t>Abschlag-Rohprotein (lt. Tabelle)</t>
  </si>
  <si>
    <t>xy..Klee in Reinkultur</t>
  </si>
  <si>
    <t>Zu-Abschlagsfaktor Nr.3 / Nr.4 ungerundet</t>
  </si>
  <si>
    <r>
      <t>Ertrags-</t>
    </r>
    <r>
      <rPr>
        <b/>
        <u val="double"/>
        <sz val="10"/>
        <color theme="1"/>
        <rFont val="Arial"/>
        <family val="2"/>
      </rPr>
      <t>und</t>
    </r>
    <r>
      <rPr>
        <b/>
        <sz val="10"/>
        <color theme="1"/>
        <rFont val="Arial"/>
        <family val="2"/>
      </rPr>
      <t xml:space="preserve"> Roproteinkorrigierter 
N-bedarfswert</t>
    </r>
  </si>
  <si>
    <t>kg N/ha Abschlag -Ertragskorrektur</t>
  </si>
  <si>
    <t>kg N/ha Zuschlag-Ertragskorrektur</t>
  </si>
  <si>
    <t>kg N / ha</t>
  </si>
  <si>
    <t>Berechneter Wert</t>
  </si>
  <si>
    <t>ausgebrachte Menge</t>
  </si>
  <si>
    <t>ausgebrachte N-Menge gesamt</t>
  </si>
  <si>
    <t>ausgebrachte N-Menge je m3/ to</t>
  </si>
  <si>
    <t>Nachlieferungsfaktor Vorjahr</t>
  </si>
  <si>
    <t>Ergebnis</t>
  </si>
  <si>
    <t xml:space="preserve"> 0-10%</t>
  </si>
  <si>
    <t>11-20%</t>
  </si>
  <si>
    <t>&lt;10%</t>
  </si>
  <si>
    <t>10-20%</t>
  </si>
  <si>
    <t>21-30%</t>
  </si>
  <si>
    <t>31-40%</t>
  </si>
  <si>
    <t>41-50%</t>
  </si>
  <si>
    <t>51-60%</t>
  </si>
  <si>
    <t>61-70%</t>
  </si>
  <si>
    <t>71-80%</t>
  </si>
  <si>
    <t>81-90%</t>
  </si>
  <si>
    <t>%-ausfiltern</t>
  </si>
  <si>
    <t>Abschläge für N-Nachlieferung aus Bodenvorrat</t>
  </si>
  <si>
    <t>&lt; 8% org. Substanz</t>
  </si>
  <si>
    <t>8-14,9% org. Substanz</t>
  </si>
  <si>
    <t>15-29,9% org. Substanz</t>
  </si>
  <si>
    <t>&lt;30% org. Substanz</t>
  </si>
  <si>
    <t>Ackergras ohne Leguminosen</t>
  </si>
  <si>
    <t>BERECHNUNG DES P2O5-BEDARFSWERTES BEI GRÜNLAND</t>
  </si>
  <si>
    <t>P2O5 -Abfuhr je dt TM-Ertrag</t>
  </si>
  <si>
    <t>kg P2O5 / dt TM</t>
  </si>
  <si>
    <t>kg P2O5/ha</t>
  </si>
  <si>
    <t>BERECHNUNG DES K2O-BEDARFSWERTES BEI GRÜNLAND</t>
  </si>
  <si>
    <t>K2O -Abfuhr je dt TM-Ertrag</t>
  </si>
  <si>
    <t>kg K2O / dt TM</t>
  </si>
  <si>
    <t>kg K2O/ha</t>
  </si>
  <si>
    <t>BERECHNUNG DES MGO-BEDARFSWERTES BEI GRÜNLAND</t>
  </si>
  <si>
    <t>kg MGO / dt TM</t>
  </si>
  <si>
    <t>MGO -Abfuhr je dt TM-Ertrag</t>
  </si>
  <si>
    <t>kg MGO/ha</t>
  </si>
  <si>
    <t>Anbau</t>
  </si>
  <si>
    <t>Stroh oder Blatt der Vorfrucht abgefahren</t>
  </si>
  <si>
    <t>Boden</t>
  </si>
  <si>
    <t>Bodenart</t>
  </si>
  <si>
    <t>Mais</t>
  </si>
  <si>
    <t>Besonderheiten bei Obst und Reben</t>
  </si>
  <si>
    <t>starke Wüchsigkeit der Reben/</t>
  </si>
  <si>
    <t>Umbruch einer langjährigen Begrünung/</t>
  </si>
  <si>
    <t>Abdeckung mit Folie/</t>
  </si>
  <si>
    <t>Umbruch eines Leguminosenbestandes</t>
  </si>
  <si>
    <t>Flies zur</t>
  </si>
  <si>
    <t>Ernteverfrühung</t>
  </si>
  <si>
    <t>Frostschaden</t>
  </si>
  <si>
    <t>Empfehlung</t>
  </si>
  <si>
    <t>Vorfrucht, Abfuhr</t>
  </si>
  <si>
    <t xml:space="preserve">Zwischenfrucht </t>
  </si>
  <si>
    <t>Nein</t>
  </si>
  <si>
    <t>vorfrucht_ab_alt</t>
  </si>
  <si>
    <t>spaeter_nmin</t>
  </si>
  <si>
    <t>Ja</t>
  </si>
  <si>
    <t>nein</t>
  </si>
  <si>
    <t>ja</t>
  </si>
  <si>
    <t>Wintertriticale 13 % RP</t>
  </si>
  <si>
    <t>Körnermais 10 % RP</t>
  </si>
  <si>
    <t>Körnermais beregnet 10 % RP</t>
  </si>
  <si>
    <t>Silomais Trockenmasse</t>
  </si>
  <si>
    <t>Silomais  Frischmasse 33 % TS</t>
  </si>
  <si>
    <t>Corn-Cob-Mix, CCM</t>
  </si>
  <si>
    <t>Saatmais</t>
  </si>
  <si>
    <t>Energiemais  Frischmasse 30 % TS</t>
  </si>
  <si>
    <t>Dauerbrache</t>
  </si>
  <si>
    <t>Rotationsbrache mit Leguminosen</t>
  </si>
  <si>
    <t>Rotationsbrache ohne Leguminosen</t>
  </si>
  <si>
    <t>Kernobst</t>
  </si>
  <si>
    <t>Süßkirschen</t>
  </si>
  <si>
    <t>Zwetschen</t>
  </si>
  <si>
    <t>Schwarze Johannisbeeren (z.B. Ben Alder)</t>
  </si>
  <si>
    <t>Rote Johannisbeeren (z.B. Rovada)</t>
  </si>
  <si>
    <t>Sommerhimbeere Glen Ample</t>
  </si>
  <si>
    <t>Sommerhimbeere Tulameen</t>
  </si>
  <si>
    <t>Herbsthimbeeren</t>
  </si>
  <si>
    <t>Erdbeeren</t>
  </si>
  <si>
    <t>Reben, Junganlage (2. und 3. Standjahr)</t>
  </si>
  <si>
    <t>Reben, jede 2. Gasse oder ganzflächig begrünt</t>
  </si>
  <si>
    <t xml:space="preserve">Reben, ganzflächig Bodenbearbeitung </t>
  </si>
  <si>
    <t xml:space="preserve">Reben mit Strohabdeckung </t>
  </si>
  <si>
    <t>duengungart</t>
  </si>
  <si>
    <t>keine</t>
  </si>
  <si>
    <t>Keine Zwischenfrucht vorhanden</t>
  </si>
  <si>
    <t>Nichtleguminosen, abgefroren</t>
  </si>
  <si>
    <t>Nichtleguminosen, nicht abgefroren, im Frühjahr eingearbeitet</t>
  </si>
  <si>
    <t>Nichtleguminosen, nicht abgefroren, im Herbst eingearbeitet</t>
  </si>
  <si>
    <t>Leguminosen, abgefroren</t>
  </si>
  <si>
    <t>Leguminosen, nicht abgefroren, im Frühjahr eingearbeitet</t>
  </si>
  <si>
    <t>Leguminosen, nicht abgefroren, im Herbst eingearbeitet</t>
  </si>
  <si>
    <t>Leguminosen mit Nutzung</t>
  </si>
  <si>
    <t>Andere Zwischenfrüchte mit Nutzung/Zwischenfrucht abgefahren</t>
  </si>
  <si>
    <t>neu</t>
  </si>
  <si>
    <t>Festmist Rinder, Grünland</t>
  </si>
  <si>
    <t>schwere</t>
  </si>
  <si>
    <t>S</t>
  </si>
  <si>
    <t>leicht</t>
  </si>
  <si>
    <t>l'S</t>
  </si>
  <si>
    <t>lS</t>
  </si>
  <si>
    <t>sL -uL</t>
  </si>
  <si>
    <t>t'L, tL,lT, T</t>
  </si>
  <si>
    <t>schwer</t>
  </si>
  <si>
    <t>Mo</t>
  </si>
  <si>
    <t>mindestens eines zutreffend</t>
  </si>
  <si>
    <t>neue_Berechnung</t>
  </si>
  <si>
    <t>alte_Berechnung</t>
  </si>
  <si>
    <t>kulturCode</t>
  </si>
  <si>
    <t>30 - 100</t>
  </si>
  <si>
    <t>70 - 140</t>
  </si>
  <si>
    <t>Ackerbau</t>
  </si>
  <si>
    <t>Leguminose</t>
  </si>
  <si>
    <t>Obst</t>
  </si>
  <si>
    <t>Reben</t>
  </si>
  <si>
    <t>210 stickstoffBedarfKorr</t>
  </si>
  <si>
    <t>0 vorfruchtAbNeu</t>
  </si>
  <si>
    <t>duengungVorjahrAbschlag -17</t>
  </si>
  <si>
    <t>bodenNachlieferung 0</t>
  </si>
  <si>
    <t>duengungDiesesJahrAbschlag -22</t>
  </si>
  <si>
    <t>nminRefrenzwert -22</t>
  </si>
  <si>
    <t>humusgehalt_unten</t>
  </si>
  <si>
    <t>humusgehalt_oben</t>
  </si>
  <si>
    <t>[%]</t>
  </si>
  <si>
    <t>Tabellenwerte mittels Array-Formel aus Daten der Untertabelle erzeugt!</t>
  </si>
  <si>
    <t>humusgehalt</t>
  </si>
  <si>
    <t>humusgehalt_zu_abschlag</t>
  </si>
  <si>
    <t>akuter N_Mangel</t>
  </si>
  <si>
    <t>gruenland_bodenart</t>
  </si>
  <si>
    <t>ackerzahl</t>
  </si>
  <si>
    <t>Auswahl-Nr.</t>
  </si>
  <si>
    <t>der</t>
  </si>
  <si>
    <t>Dropdownbox</t>
  </si>
  <si>
    <t>Box-Nr</t>
  </si>
  <si>
    <t>Vorfrucht</t>
  </si>
  <si>
    <t>Zwisch.frucht</t>
  </si>
  <si>
    <t>Strohabfuhr</t>
  </si>
  <si>
    <t>Registerblatt Kulturen</t>
  </si>
  <si>
    <t>Registerblatt Gemarkungen / Vergleichsgebiet</t>
  </si>
  <si>
    <t>Registerblatt org.Dünger</t>
  </si>
  <si>
    <t>min.Dü</t>
  </si>
  <si>
    <t xml:space="preserve">org. Dü </t>
  </si>
  <si>
    <t>Registerblatt Bodenart</t>
  </si>
  <si>
    <t>Registerblatt Ackerzahl</t>
  </si>
  <si>
    <t>Standortverhältnisse / Ackerzahl</t>
  </si>
  <si>
    <t>Umbau Stammdaten: soll  Gülle nach oben ? (statt Festmist)</t>
  </si>
  <si>
    <t>Registerblatt organische Dünger</t>
  </si>
  <si>
    <t>ausgewählt: bei Grünland !</t>
  </si>
  <si>
    <t>Abfrage ob Düngung bei Mais zur Saat oder Späte N-min-Düngung</t>
  </si>
  <si>
    <t>Boxen-Nr.</t>
  </si>
  <si>
    <t>Registerblatt Bodennachlieferung Mais</t>
  </si>
  <si>
    <t>Stammdaten nicht aktuell: stark NP-red. fehlt</t>
  </si>
  <si>
    <t>N-mangel</t>
  </si>
  <si>
    <t>Wüchsigkeit u.a.</t>
  </si>
  <si>
    <t>Abdeckung..</t>
  </si>
  <si>
    <t>Ernteverfrühung bei Erdbeeren</t>
  </si>
  <si>
    <t>aus obiger Tabelle</t>
  </si>
  <si>
    <r>
      <t xml:space="preserve">aus Ergebnis gespiegelt, wird dort mit wenn-Abfrage von der Eingabe übernommen, </t>
    </r>
    <r>
      <rPr>
        <sz val="11"/>
        <color rgb="FFFF0000"/>
        <rFont val="Arial"/>
        <family val="2"/>
      </rPr>
      <t>unklar: was hat Vorrang ?</t>
    </r>
  </si>
  <si>
    <t>errechnet, kann positiv oder negativ sein, wird aber hier nur positiv, also absolut ausgewisen, um den Zu-oder Abschlagsfaktor zu berechnen</t>
  </si>
  <si>
    <t>Wert oberhalb gerundet</t>
  </si>
  <si>
    <t>kg N/ha -Ertragskorrektur</t>
  </si>
  <si>
    <t>maßgeblicher Zuschlag</t>
  </si>
  <si>
    <t>kg N/ha Zuschlag-Ertragskorrektur ggf. gedeckelt</t>
  </si>
  <si>
    <t xml:space="preserve"> = N-Obergrenze</t>
  </si>
  <si>
    <t>N-entzug</t>
  </si>
  <si>
    <t>Ergebnis Entzug</t>
  </si>
  <si>
    <t>kg/ha</t>
  </si>
  <si>
    <t>Zuschlag nicht erntbare Restpflanze</t>
  </si>
  <si>
    <t>ausgewählt-BoxNr</t>
  </si>
  <si>
    <t>blau =Spalten-Nr</t>
  </si>
  <si>
    <t>Registerblatt Vorfrucht, Strohabfuhr, nein, Ja</t>
  </si>
  <si>
    <t>Registerblatt Vorfrucht, Kultur</t>
  </si>
  <si>
    <t>Registerblatt Zwischenfrucht, Kultur</t>
  </si>
  <si>
    <t>ausgewählte Vorfrucht (Box-Nr.)</t>
  </si>
  <si>
    <t>ausgewählte Nmin-Situation</t>
  </si>
  <si>
    <t>2 = Ja, späte n-min</t>
  </si>
  <si>
    <t>1 = nein, keine späte N-min</t>
  </si>
  <si>
    <t>Index-Zeile</t>
  </si>
  <si>
    <t>Strohabfuhr (10 =nein, 20=ja)</t>
  </si>
  <si>
    <t>spaeter_nmin (1=nein, 2 = ja)</t>
  </si>
  <si>
    <t>Ergebnis: Index</t>
  </si>
  <si>
    <t>Planfrucht:</t>
  </si>
  <si>
    <t xml:space="preserve"> =</t>
  </si>
  <si>
    <t>ausgewählt Text,nein =1, Ja = 2</t>
  </si>
  <si>
    <t>ausgewählte Stroh- Abfuhrsituation</t>
  </si>
  <si>
    <t xml:space="preserve"> =Kulturuntergruppe Mais ?</t>
  </si>
  <si>
    <t>(wenn kein Mais, dann immer späte N-min = nein = kein Mais als Vorfrucht)</t>
  </si>
  <si>
    <t>N-Lieferung der Vorfrucht</t>
  </si>
  <si>
    <t>Abfuhr Stroh, Blatt, Box-Nr</t>
  </si>
  <si>
    <t>Abfuhr Stroh, Blatt, Text</t>
  </si>
  <si>
    <t>spaeter_nmin; 10=nein; 20=ja</t>
  </si>
  <si>
    <t>Index</t>
  </si>
  <si>
    <t>späte N-min der Planfrucht Mais</t>
  </si>
  <si>
    <t>2 = Ja, späte N-min</t>
  </si>
  <si>
    <t>Summe Index</t>
  </si>
  <si>
    <t>Ergebnis-alt:</t>
  </si>
  <si>
    <t>Ergebnis-neu:</t>
  </si>
  <si>
    <t>Abschlag Zwischenfrucht</t>
  </si>
  <si>
    <t>N-gehalt</t>
  </si>
  <si>
    <t>verfügbare N-Menge im Boden</t>
  </si>
  <si>
    <t>ACKERBAU - BERECHNUNG - neu</t>
  </si>
  <si>
    <t>Zwischenfrucht</t>
  </si>
  <si>
    <t>ausgewählt: bei Ackerland</t>
  </si>
  <si>
    <t>Eigenanalysewert [kg N/m³] -Vorjahr</t>
  </si>
  <si>
    <t>zu verrechnender Wert</t>
  </si>
  <si>
    <t>N-menge</t>
  </si>
  <si>
    <t>weitere organische Düngung  Vorjahr:</t>
  </si>
  <si>
    <t>Nachlief.faktor</t>
  </si>
  <si>
    <t>Ergebnis1:</t>
  </si>
  <si>
    <t>Düngermenge</t>
  </si>
  <si>
    <t>Ergebnis2</t>
  </si>
  <si>
    <t xml:space="preserve">kg N/ha </t>
  </si>
  <si>
    <t>Boxen-Zeile</t>
  </si>
  <si>
    <t>Düngungsart / mineralische Düngung /org.Dü?</t>
  </si>
  <si>
    <t>Summe Abschlag Düngung  Vorjahr</t>
  </si>
  <si>
    <t>organische Düngung  Vorjahr, nach Ernte,zur Zw.frucht</t>
  </si>
  <si>
    <t>nur für DÜV !! + Kalk</t>
  </si>
  <si>
    <t>nur für alt</t>
  </si>
  <si>
    <t xml:space="preserve">neu: nur Humusgehalt </t>
  </si>
  <si>
    <t>DÜV-Kultur =1</t>
  </si>
  <si>
    <t>wenn 1 dann DÜV - Kultur, sonst nur Empfehlungsberechnung</t>
  </si>
  <si>
    <t>Abfrage nach mineralischer Düngung-(nach Ernte der Vorfrucht)</t>
  </si>
  <si>
    <t>Summe</t>
  </si>
  <si>
    <t>(1 = keine org. Düngung)</t>
  </si>
  <si>
    <t>Mineraldünger
/Org.Dünger Ja</t>
  </si>
  <si>
    <t>Mineraldünger
/org.Dü Ja</t>
  </si>
  <si>
    <t>Mineraldünger
/org.Dü. Ja</t>
  </si>
  <si>
    <t>Index für Formel</t>
  </si>
  <si>
    <t>angegebener Humusgehalt</t>
  </si>
  <si>
    <t>ausgewählte Kultur</t>
  </si>
  <si>
    <t>ausgewählte Kulturgruppe</t>
  </si>
  <si>
    <t>Abschlag</t>
  </si>
  <si>
    <t>&lt; 1,5</t>
  </si>
  <si>
    <t>unter 1,5 % immer 30 kg Zuschlag (maximal und insgesam)</t>
  </si>
  <si>
    <t>ausgewählter Boden, Ackerzahl</t>
  </si>
  <si>
    <t>Indexzahl</t>
  </si>
  <si>
    <t>N-Lieferung Boden (Ackerzahl) Text</t>
  </si>
  <si>
    <t>Humusgehalt-Ergebnis-Abschlag</t>
  </si>
  <si>
    <t>&lt;40</t>
  </si>
  <si>
    <t>40 - 60</t>
  </si>
  <si>
    <t>&gt;60</t>
  </si>
  <si>
    <t>Text-verkürzt</t>
  </si>
  <si>
    <t>Text</t>
  </si>
  <si>
    <t>ausgewählte Plankultur = Mais?</t>
  </si>
  <si>
    <t>Ackerzahl:</t>
  </si>
  <si>
    <t>mal 100</t>
  </si>
  <si>
    <t>mal 1000</t>
  </si>
  <si>
    <t>Indizierung</t>
  </si>
  <si>
    <t>Indexzeile</t>
  </si>
  <si>
    <t>indexspalte</t>
  </si>
  <si>
    <t>ausgewählt Ackerzahl/Boden</t>
  </si>
  <si>
    <t>Summe Spaltenindex</t>
  </si>
  <si>
    <t>aus Registerblatt Ackerzahl</t>
  </si>
  <si>
    <t>Index Kultur</t>
  </si>
  <si>
    <t>Zeilenindex</t>
  </si>
  <si>
    <t>indizierungszahl</t>
  </si>
  <si>
    <t>inizierungszahl</t>
  </si>
  <si>
    <t>Mais-Düngung zur Saat oder späte N-min</t>
  </si>
  <si>
    <t xml:space="preserve"> = Ja</t>
  </si>
  <si>
    <t xml:space="preserve">  =Nein</t>
  </si>
  <si>
    <t>kg /ha</t>
  </si>
  <si>
    <t>Mineraldünger</t>
  </si>
  <si>
    <t>Mineralische Düngung nach Ernte der Vorfrucht</t>
  </si>
  <si>
    <t>aus Tabelle org. Dü</t>
  </si>
  <si>
    <t>ausgewählt im Eingabeblatt:</t>
  </si>
  <si>
    <t>Mindestwirksamkeit</t>
  </si>
  <si>
    <t>(Ertragskorrektur)</t>
  </si>
  <si>
    <t>(RP-Korrektur)</t>
  </si>
  <si>
    <t>Zuschlag / Abschlag wg. Gehaltsklasse</t>
  </si>
  <si>
    <t>Gehaltsklasse</t>
  </si>
  <si>
    <t>P2O5</t>
  </si>
  <si>
    <t>K2O</t>
  </si>
  <si>
    <t>ausgebracht im Vorjahr-Nr. nach Ernte</t>
  </si>
  <si>
    <t>weitere organische Düngung im Vorjahr - nur N !!</t>
  </si>
  <si>
    <t>weitere organische Düngung  Vorjahr: nur N !!</t>
  </si>
  <si>
    <t>Ackerbau, Berechnung P2o5</t>
  </si>
  <si>
    <t>Ertrag (korn+Stroh),(Knolle+Kraut)</t>
  </si>
  <si>
    <t>Ackerbau, Berechnung K2O</t>
  </si>
  <si>
    <t>Vorfrucht - Box-Zeile-Nr.</t>
  </si>
  <si>
    <t>P205-Lieferung
Entzug minus Abfuhr</t>
  </si>
  <si>
    <t>MGO-Lieferung
Entzug minus Abfuhr</t>
  </si>
  <si>
    <t>P2O5-Lieferung je dt</t>
  </si>
  <si>
    <t>Ertrag Vorfrucht</t>
  </si>
  <si>
    <t>Vorfrucht-Box-Zeilen-Nr.</t>
  </si>
  <si>
    <t>P2O5-Lieferung je ha</t>
  </si>
  <si>
    <t>K2O-Lieferung je dt</t>
  </si>
  <si>
    <t>K2O-Lieferung je ha</t>
  </si>
  <si>
    <t>MGO-Lieferung je dt</t>
  </si>
  <si>
    <t>MGO-Lieferung je ha</t>
  </si>
  <si>
    <t>Ackerbau, Berechnung MGO</t>
  </si>
  <si>
    <t>Lieferung Boden</t>
  </si>
  <si>
    <t>kg P2o5/ha</t>
  </si>
  <si>
    <t>P2O5-Gehalt</t>
  </si>
  <si>
    <t>K2O-Gehalt</t>
  </si>
  <si>
    <t>MGO-Gehalt</t>
  </si>
  <si>
    <t>P2O5-Menge</t>
  </si>
  <si>
    <t>K2O-Menge</t>
  </si>
  <si>
    <t>MGO-Menge</t>
  </si>
  <si>
    <t>Text für Einheit</t>
  </si>
  <si>
    <t>t</t>
  </si>
  <si>
    <t>Einheit</t>
  </si>
  <si>
    <t>text</t>
  </si>
  <si>
    <t>Einheit - Text</t>
  </si>
  <si>
    <t>Einheit Text</t>
  </si>
  <si>
    <t>anzurechnender N</t>
  </si>
  <si>
    <t>Erreichung und Erhaltung des optimalen pH-Bereiches. Die empfohlenen Gaben beinhalten</t>
  </si>
  <si>
    <t>den Kalkbedarf bis zur nächsten Bodenuntersuchung (nach Ablauf der Fruchtfolge)</t>
  </si>
  <si>
    <t>&lt;=4,0 %</t>
  </si>
  <si>
    <t>4,1 bis 8,0  %</t>
  </si>
  <si>
    <t>&gt;30 %</t>
  </si>
  <si>
    <t>CaO</t>
  </si>
  <si>
    <t>BODENARTGRUPPE 1: S - SAND</t>
  </si>
  <si>
    <t>&lt;=4,0</t>
  </si>
  <si>
    <t>&lt;=3,7</t>
  </si>
  <si>
    <t>&lt;=3,4</t>
  </si>
  <si>
    <t>&lt;=3,1</t>
  </si>
  <si>
    <t>4,1 - 8,0 %</t>
  </si>
  <si>
    <t>8,1 - 15 %</t>
  </si>
  <si>
    <t>15,1 - 30 %</t>
  </si>
  <si>
    <t>30,1 - 100 %</t>
  </si>
  <si>
    <t>&gt;=6,3</t>
  </si>
  <si>
    <t>&gt;5,9</t>
  </si>
  <si>
    <t>&gt;5,5</t>
  </si>
  <si>
    <t>&gt;5,2</t>
  </si>
  <si>
    <t>Kalkmenge ?</t>
  </si>
  <si>
    <t>pH-Klasse ?</t>
  </si>
  <si>
    <t>BODENARTGRUPPE 2: l'S - schwach lehmiger SAND</t>
  </si>
  <si>
    <t>&lt;=3,3</t>
  </si>
  <si>
    <t>&lt;=3,0</t>
  </si>
  <si>
    <t>&gt;=06,8</t>
  </si>
  <si>
    <t>&gt;=6,4</t>
  </si>
  <si>
    <t>&gt;=6,0</t>
  </si>
  <si>
    <t>&gt;=5,6</t>
  </si>
  <si>
    <t>BODENARTGRUPPE 3: lS - stark lehmiger SAND</t>
  </si>
  <si>
    <t>&lt;=4,5</t>
  </si>
  <si>
    <t>&gt;=7,2</t>
  </si>
  <si>
    <t>&gt;=6,8</t>
  </si>
  <si>
    <t>&gt;=5,9</t>
  </si>
  <si>
    <t>BODENARTGRUPPE 4: sL/uL - sandiger bis schluffiger Lehm</t>
  </si>
  <si>
    <t>&gt;=7,5</t>
  </si>
  <si>
    <t>&gt;=7,1</t>
  </si>
  <si>
    <t>&gt;=6,6</t>
  </si>
  <si>
    <t>&gt;=6,2</t>
  </si>
  <si>
    <t>BODENARTGRUPPE 5: t'L/tl/lT/T - schwach tonoger Lehm bis Ton</t>
  </si>
  <si>
    <t>&gt;=7,8</t>
  </si>
  <si>
    <t>&gt;=7,3</t>
  </si>
  <si>
    <t>A, B</t>
  </si>
  <si>
    <t>D,E</t>
  </si>
  <si>
    <t>&gt;=4,4</t>
  </si>
  <si>
    <t>Ergebnis Gesamtkalkung in dt/ha</t>
  </si>
  <si>
    <t>Symbol</t>
  </si>
  <si>
    <t>Eingaben werden auch bzgl. der Grünlandkalkung verwendet!</t>
  </si>
  <si>
    <t>A / GL:</t>
  </si>
  <si>
    <t>Acker:</t>
  </si>
  <si>
    <t>Erg. max. Aufbringmenge je Einzelgabe:</t>
  </si>
  <si>
    <t>Registerblatt Stammdaten Kalk-Acker</t>
  </si>
  <si>
    <t>Humusklasse</t>
  </si>
  <si>
    <t>% - Humus</t>
  </si>
  <si>
    <t>Ergebnis Humusklasse Ackerland</t>
  </si>
  <si>
    <t>Ergebnis Humusklasse Grünland</t>
  </si>
  <si>
    <t>Stammdaten - Acker auch für Grünland</t>
  </si>
  <si>
    <t>N-Lieferung Boden (Ackerzahl, Wert), Mais, alt</t>
  </si>
  <si>
    <t>N-Lieferung Boden (Ackerzahl, Wert), Nichtmais, alt</t>
  </si>
  <si>
    <t>"Ackerzahl"</t>
  </si>
  <si>
    <t>relevanter Wert:</t>
  </si>
  <si>
    <t>&gt; 0; wenn späte N-min-Mais</t>
  </si>
  <si>
    <t>N-bedarf - pauschal</t>
  </si>
  <si>
    <t>Vorfrucht -Text</t>
  </si>
  <si>
    <t>unterer Wert Ertrag Reben</t>
  </si>
  <si>
    <t>oberer Wert Ertrag Reben</t>
  </si>
  <si>
    <t>Reben oder Obst ?</t>
  </si>
  <si>
    <t>Vorfrucht - Boxenzeile</t>
  </si>
  <si>
    <t>Kultur-Text</t>
  </si>
  <si>
    <t>Kultur-Boxenzeile</t>
  </si>
  <si>
    <t>entfällt</t>
  </si>
  <si>
    <t>Zuschlag/Abschlag errechnet</t>
  </si>
  <si>
    <t>untere Ertragsschwelle</t>
  </si>
  <si>
    <t>obere Ertragsschwelle</t>
  </si>
  <si>
    <t>tatsächliche Ertragsdifferenz (ABSolut) u. Obst =ja</t>
  </si>
  <si>
    <t xml:space="preserve">zuverrechnender Wert </t>
  </si>
  <si>
    <t>kg N /ha</t>
  </si>
  <si>
    <t>wird nur verrechnet wenn Reben</t>
  </si>
  <si>
    <t>Vorfrucht N-lieferung Wert</t>
  </si>
  <si>
    <t>ausgewählt: bei Obst/Reben</t>
  </si>
  <si>
    <t>o.k.</t>
  </si>
  <si>
    <t>weitere organische Düngung  Vorjahr z.B.Frühjahr</t>
  </si>
  <si>
    <t>Düngerart, Boxenzeile</t>
  </si>
  <si>
    <t>Weitere org. Düngung im VJ</t>
  </si>
  <si>
    <t>ausgewählt, Text</t>
  </si>
  <si>
    <t>Humusgrenzwerte</t>
  </si>
  <si>
    <t>Zuschlag wenn Humusgehalt kleiner 1,5%</t>
  </si>
  <si>
    <t>oder akuter N-mangel</t>
  </si>
  <si>
    <t>ausgewählt - Text</t>
  </si>
  <si>
    <t>akuter N-mangel</t>
  </si>
  <si>
    <t>Abschlag bei starker Wüchsigkeit</t>
  </si>
  <si>
    <t>(Humusgehalt)</t>
  </si>
  <si>
    <t>&gt;&gt;&gt; Eingabe</t>
  </si>
  <si>
    <t>&gt;&gt;&gt; Ergebnis</t>
  </si>
  <si>
    <t>Düngebedarfsberechnung Ackerbau</t>
  </si>
  <si>
    <t>Düngebedarfsberechnung Obst u. Reben</t>
  </si>
  <si>
    <t>errechneter Durchschnitt der letzten 3 Jahre</t>
  </si>
  <si>
    <t>letztes Jahr</t>
  </si>
  <si>
    <t>Alternative Ertragseingabe</t>
  </si>
  <si>
    <t>Organische bzw. organisch-mineralische Düngung im letzten Jahr</t>
  </si>
  <si>
    <r>
      <rPr>
        <b/>
        <sz val="11"/>
        <color rgb="FFFF0000"/>
        <rFont val="Arial"/>
        <family val="2"/>
      </rPr>
      <t xml:space="preserve">* </t>
    </r>
    <r>
      <rPr>
        <sz val="11"/>
        <color theme="1"/>
        <rFont val="Arial"/>
        <family val="2"/>
      </rPr>
      <t>Pflichtfeld für Stickstoffberechnung</t>
    </r>
  </si>
  <si>
    <r>
      <rPr>
        <b/>
        <sz val="11"/>
        <color rgb="FFFF0000"/>
        <rFont val="Arial"/>
        <family val="2"/>
      </rPr>
      <t xml:space="preserve">** </t>
    </r>
    <r>
      <rPr>
        <sz val="11"/>
        <color theme="1"/>
        <rFont val="Arial"/>
        <family val="2"/>
      </rPr>
      <t>Pflichtfeld bei Maiskulturen</t>
    </r>
  </si>
  <si>
    <r>
      <rPr>
        <b/>
        <sz val="11"/>
        <color rgb="FFFF0000"/>
        <rFont val="Arial"/>
        <family val="2"/>
      </rPr>
      <t xml:space="preserve">*** </t>
    </r>
    <r>
      <rPr>
        <sz val="11"/>
        <color theme="1"/>
        <rFont val="Arial"/>
        <family val="2"/>
      </rPr>
      <t>Pflichtfeld für Grundnährstoffberechnung</t>
    </r>
  </si>
  <si>
    <r>
      <t>P</t>
    </r>
    <r>
      <rPr>
        <vertAlign val="subscript"/>
        <sz val="11"/>
        <color theme="1"/>
        <rFont val="Arial"/>
        <family val="2"/>
      </rPr>
      <t>2</t>
    </r>
    <r>
      <rPr>
        <sz val="11"/>
        <color theme="1"/>
        <rFont val="Arial"/>
        <family val="2"/>
      </rPr>
      <t>O</t>
    </r>
    <r>
      <rPr>
        <vertAlign val="subscript"/>
        <sz val="11"/>
        <color theme="1"/>
        <rFont val="Arial"/>
        <family val="2"/>
      </rPr>
      <t>5</t>
    </r>
  </si>
  <si>
    <r>
      <t>K</t>
    </r>
    <r>
      <rPr>
        <vertAlign val="subscript"/>
        <sz val="11"/>
        <color theme="1"/>
        <rFont val="Arial"/>
        <family val="2"/>
      </rPr>
      <t>2</t>
    </r>
    <r>
      <rPr>
        <sz val="11"/>
        <color theme="1"/>
        <rFont val="Arial"/>
        <family val="2"/>
      </rPr>
      <t>O</t>
    </r>
  </si>
  <si>
    <r>
      <t>m</t>
    </r>
    <r>
      <rPr>
        <vertAlign val="superscript"/>
        <sz val="11"/>
        <color theme="1"/>
        <rFont val="Arial"/>
        <family val="2"/>
      </rPr>
      <t>³</t>
    </r>
  </si>
  <si>
    <t xml:space="preserve">3-jähriger Ertragsdurchschnitt [dt TM/ha] </t>
  </si>
  <si>
    <t>(nur bei Erdbeeren)</t>
  </si>
  <si>
    <t xml:space="preserve">N-Mangel </t>
  </si>
  <si>
    <t xml:space="preserve">akuter </t>
  </si>
  <si>
    <t>Alternative Rohproteineingabe</t>
  </si>
  <si>
    <t>Düngeempfehlung für Kalk [dt/ha u. 4 Jahre]</t>
  </si>
  <si>
    <t>organische Düngung Vorjahr, Düngemittel</t>
  </si>
  <si>
    <t>Düngemittel</t>
  </si>
  <si>
    <t>Bedingung</t>
  </si>
  <si>
    <t>Diese Fruchtart wird üblicherweise nicht mit Stickstoff gedüngt.</t>
  </si>
  <si>
    <t>Die Düngeempfehlung wurde an den Höchstertrag angepasst.</t>
  </si>
  <si>
    <t>Die Düngeempfehlung zur gesamten N-Gabe ist durch den Höchstwert begrenzt.</t>
  </si>
  <si>
    <t>Die Düngeempfehlung zur gesamten N-Gabe ist auf den Mindestwert angehoben.</t>
  </si>
  <si>
    <t>Liegt die berechnete Düngeempfehlung &lt;0 kg N/ha wird eine Düngeempfehlung von 0 kg N/ha ausgegeben. 
Liegt die berechnete Düngeempfehlung zwischen 0 und 30 kg N/ha wird eine Düngeempfehlung von 30 kg N/ha ausgegeben.
Liegt die berechnete Düngeempfehlung &gt; 30 aber unter der in Tabelle "Kulturen" angegebenen Mindestdüngemenge wird die berechnete Düngeempfehlung auf diese Mindestdüngemenge angehoben (z.B. bei Saatmais, Winterweizen (14/16 % RP))</t>
  </si>
  <si>
    <t>Da die Angabe des Humusgehaltes fehlt, wurde kein Abschlag vorgenommen.</t>
  </si>
  <si>
    <t>Verstärkte Nachmineralisation beachten!</t>
  </si>
  <si>
    <t>Vorfrucht nicht/ungenau angegeben, es wurde pauschal mit einem Abschlag von 10 kg N/ha gerechnet.</t>
  </si>
  <si>
    <t>Späte N-Min Methode aber keine Andüngung angegeben und nicht explizit 0 kg N/ha eingetragen.</t>
  </si>
  <si>
    <t>N-Lieferung aus  "Vorfrucht + Zwischenfr.+ Gründgg + Düngung nach Ernte Vorfrucht" ist auf 40 kg N-Nachlieferung begrenzt. (N-Empfehlung)</t>
  </si>
  <si>
    <t>Die Düngeempfehlung ist an die festgelegte minimale Ertragserwartung angepasst.</t>
  </si>
  <si>
    <t xml:space="preserve">Ertragserwartung unter Mindestertrag </t>
  </si>
  <si>
    <t>N-Lieferung aus  "Vorfrucht + Zwischenfrucht." ist auf 40 kg N-Nachlieferung begrenzt. (N-Obergrenze)</t>
  </si>
  <si>
    <t>Aufgrund unvollständiger Angaben war keine N-Düngebedarfsberechnung möglich.</t>
  </si>
  <si>
    <t>N-Obergrenze bitte prüfen. Kann aufgrund unvollständiger Angaben auch niedriger liegen.</t>
  </si>
  <si>
    <t>Da Moor/Anmoor ausgewählt wurde eine Stickstoffnachlieferung aus dem Bodenvorrat abgeschlagen.</t>
  </si>
  <si>
    <t>Wenn Humusgehalt unter Abschlag aber Moor/Anmoor angegeben den Abschlag geben</t>
  </si>
  <si>
    <t>Gesamt-N-Bedarf  70 kg N/ha bei Ertrag 70-140 kg Trauben/Ar in Ertragsanlage, wenn jede 2. Gasse oder ganzflächig begrünt;</t>
  </si>
  <si>
    <t>Der berechnete N-Düngebedarf (Obergrenze!) ist kleiner als 50 kg/ha. Da die Düngeverordnung ab N-Düngemengen von 50 kg/ha und mehr zu beachten ist, kann für den vorliegenden Fall die Ausbringung der N-Menge von kleiner 50 kg/ha ohne Berechnung erfolgen.</t>
  </si>
  <si>
    <t>Berechneter Düngebedarf/Obergrenze unter 50kg/ha</t>
  </si>
  <si>
    <t>Allgemeine Angaben</t>
  </si>
  <si>
    <t>Inhaltliche Hinweise</t>
  </si>
  <si>
    <t>Ziel der Anwendung</t>
  </si>
  <si>
    <t>Impressum:</t>
  </si>
  <si>
    <t>Verfallsdatum:</t>
  </si>
  <si>
    <t>Herausgeber:</t>
  </si>
  <si>
    <t>Ministerium für Ländlichen Raum und Verbraucherschutz</t>
  </si>
  <si>
    <t>Baden-Württemberg (MLR)</t>
  </si>
  <si>
    <t>Kernerplatz 10</t>
  </si>
  <si>
    <t>70182 Stuttgart</t>
  </si>
  <si>
    <t>Inhaltliche Redaktion:</t>
  </si>
  <si>
    <t>Landwirtschaftliches Technologiezentrum Augustenberg (LTZ)</t>
  </si>
  <si>
    <t xml:space="preserve">Neßlerstraße 23-31 </t>
  </si>
  <si>
    <t>76227 Karlsruhe</t>
  </si>
  <si>
    <t>Dr. Markus Mokry</t>
  </si>
  <si>
    <t>markus.mokry@ltz.bwl.de</t>
  </si>
  <si>
    <t>Landwirtschaftliches Zentrum für Rinderhaltung, Grünlandwirtschaft, Milchwirtschaft, Wild und Fischerei (LAZBW)</t>
  </si>
  <si>
    <t xml:space="preserve">Atzenberger Weg 99 </t>
  </si>
  <si>
    <t>88326 Aulendorf</t>
  </si>
  <si>
    <t>Prof. Dr. Martin Elsäßer</t>
  </si>
  <si>
    <t>martin.elsaesser@lazbw.bwl.de</t>
  </si>
  <si>
    <t>Staatliche Lehr- und Versuchsanstalt für Wein und Obstbau (LVWO)</t>
  </si>
  <si>
    <t xml:space="preserve">Traubenplatz 5 </t>
  </si>
  <si>
    <t>74189 Weinsberg</t>
  </si>
  <si>
    <t>Dr. Dietmar Rupp</t>
  </si>
  <si>
    <t>dietmar.rupp@lvwo.bwl.de</t>
  </si>
  <si>
    <t>Staatliches Weinbauinstitut Freiburg (WBI)</t>
  </si>
  <si>
    <t>Merzhauser Straße 119</t>
  </si>
  <si>
    <t>79100 Freiburg im Breisgau</t>
  </si>
  <si>
    <t>Dr. Monika Riedel</t>
  </si>
  <si>
    <t>Monika.Riedel@wbi.bwl.de</t>
  </si>
  <si>
    <t>Koordination:</t>
  </si>
  <si>
    <t>Landwirtschaftliches Technologiezentrum Augustenberg</t>
  </si>
  <si>
    <t>Telefon: 0721 / 9468-0</t>
  </si>
  <si>
    <t>Telefax: 0721 / 9468-112</t>
  </si>
  <si>
    <t>poststelle @ ltz.bwl.de</t>
  </si>
  <si>
    <t>Landesanstalt für Entwicklung der Landwirtschaft</t>
  </si>
  <si>
    <t>und der ländlichen Räume ( LEL )</t>
  </si>
  <si>
    <t>Oberbettringer Straße 162</t>
  </si>
  <si>
    <t>73525 Schwäbisch Gmünd</t>
  </si>
  <si>
    <t>Ansprechpartner für technische Fragen:</t>
  </si>
  <si>
    <t xml:space="preserve">Die EXCEL-Anwendung Düngebedarf ist Teil von Düngung BW. Düngung BW ist ein Onlineangebot des Landes Baden-Württemberg </t>
  </si>
  <si>
    <t>mit umfassenden Informationen, Onlineanwendungen und Excel-Programmen zum Thema bedarfsgerechte Düngung.</t>
  </si>
  <si>
    <t>poststelle@mlr.bwl.de</t>
  </si>
  <si>
    <t>Eingabe</t>
  </si>
  <si>
    <t>Stammdaten</t>
  </si>
  <si>
    <t>Ergebniswerte</t>
  </si>
  <si>
    <t>Rechenlogik</t>
  </si>
  <si>
    <t>u. ergänzende Kommentare</t>
  </si>
  <si>
    <t>Rechtsgrundlagen</t>
  </si>
  <si>
    <t xml:space="preserve"> Hyperlink "Kulturen"</t>
  </si>
  <si>
    <t>Ergebnis: (nur wenn Reben !)</t>
  </si>
  <si>
    <t>Abfrage bei Obst:</t>
  </si>
  <si>
    <t>Abfrage bei Reben:</t>
  </si>
  <si>
    <t>Humusgrenzwert:</t>
  </si>
  <si>
    <t>Ergebnis: (nur wenn Obst!)</t>
  </si>
  <si>
    <t>Ergebnis - Humusgehalt (Reben oder Obstabfrage)</t>
  </si>
  <si>
    <t>Erdbeeren ?</t>
  </si>
  <si>
    <t>Zuschlag bei Folienabdeckung</t>
  </si>
  <si>
    <t>Boxenauswahl ja/nein oder "entfällt" (1=nein;2=ja; oder "entfällt)</t>
  </si>
  <si>
    <t>starke Wüchsigkeit u.a. (nur bei Reben)</t>
  </si>
  <si>
    <t>MGO</t>
  </si>
  <si>
    <t>Kalkung Obst und Reben</t>
  </si>
  <si>
    <t>Kalkdüngungsbedarf: pH-Ca-Cl2-Werte und jeweils zugehörende Kalkmengen in dt CaO / ha</t>
  </si>
  <si>
    <t>zur Erreichung und Erhaltung des optimalen pH-Bereiches. Die empfohlenen Gaben beinhalten den Kalkbedarf für 4 Jahre</t>
  </si>
  <si>
    <t xml:space="preserve">Quelle:  Tabelle: a) pH-Wert (CaCl2) und Kalkbedarf, Bodenuntersuchung und Düngerberechnung im Weinbau (Stand: 12.05.2006). </t>
  </si>
  <si>
    <t>Bodenartgruppe</t>
  </si>
  <si>
    <t>&lt;5,0</t>
  </si>
  <si>
    <t>&lt;5,5</t>
  </si>
  <si>
    <t>&gt;6,4</t>
  </si>
  <si>
    <t>bei Reben Ertragsdurchschnitt, Bodengehaltsklasse un Ergebnisswerte ausweisen: sonst nichts</t>
  </si>
  <si>
    <t>bei Erdbeeren: alles relevant</t>
  </si>
  <si>
    <t>bei Obst: alles relevant außer Vorfrucht</t>
  </si>
  <si>
    <t>Ertragserwartung</t>
  </si>
  <si>
    <t>Abfuhrwert P2O5 je dt</t>
  </si>
  <si>
    <t>kg P2O5/dt</t>
  </si>
  <si>
    <t>Zwischenergebnis</t>
  </si>
  <si>
    <t>ERGEBNIS P2O5</t>
  </si>
  <si>
    <t>Abfuhrwert K2O je dt</t>
  </si>
  <si>
    <t>kg K2O/dt</t>
  </si>
  <si>
    <t>ERGEBNIS K2O</t>
  </si>
  <si>
    <t>Abfuhrwert MGO je dt</t>
  </si>
  <si>
    <t>kg MGO/dt</t>
  </si>
  <si>
    <t>ERGEBNIS MGO</t>
  </si>
  <si>
    <t>Gehaltsklasse Obst</t>
  </si>
  <si>
    <t>Gehaltsklasse Reben</t>
  </si>
  <si>
    <t>Rechen-ERGEBNIS P2O5 - REBEN</t>
  </si>
  <si>
    <t>Rechen-ERGEBNIS K2O - REBEN</t>
  </si>
  <si>
    <t>Rechen-ERGEBNIS MGO - REBEN</t>
  </si>
  <si>
    <t>Zuschlag Reben</t>
  </si>
  <si>
    <t>Endergebnis P2O5</t>
  </si>
  <si>
    <t>Endergebnis K2O</t>
  </si>
  <si>
    <t>Endergebnis MGO</t>
  </si>
  <si>
    <t>Zu/Abschlag Obst -Lieferung Boden</t>
  </si>
  <si>
    <t>Zu/Abschlag Obst- Lieferung Boden</t>
  </si>
  <si>
    <t>Abfrage bei Acker</t>
  </si>
  <si>
    <t>Ergebnis (alt) - Acker</t>
  </si>
  <si>
    <t>kg/N ha</t>
  </si>
  <si>
    <t>spaeter_nmin (bei Planfrucht Mais)</t>
  </si>
  <si>
    <t>kgN/ha</t>
  </si>
  <si>
    <t>Berechnung Lieferung Grundnährstoffe Ackerbau aus Vorfrucht</t>
  </si>
  <si>
    <t>Abfrage Lieferung N der Vorfrucht bei "Obst, Reben"; z.Zt. Nur bei Erdbeeren relevant !!</t>
  </si>
  <si>
    <t>Berechnung Lieferung Grundnährstoffe "Obst,Reben" aus Vorfrucht</t>
  </si>
  <si>
    <t>Vorfruchtlieferung P2O5</t>
  </si>
  <si>
    <t>Vorfruchtlieferung K2O</t>
  </si>
  <si>
    <t>Vorfruchtlieferung MGO</t>
  </si>
  <si>
    <t>Strohabfuhr ?</t>
  </si>
  <si>
    <t>max.
 Einzelgabe</t>
  </si>
  <si>
    <t>&lt;6</t>
  </si>
  <si>
    <t xml:space="preserve"> &gt;5,9</t>
  </si>
  <si>
    <t>Ergebnis: Kalkmenge</t>
  </si>
  <si>
    <t>Kulturuntergruppe  ?</t>
  </si>
  <si>
    <t>(Erdbeeren, Obst, Reben)</t>
  </si>
  <si>
    <t>Sonstige Vorfrucht</t>
  </si>
  <si>
    <t>Prog.hinweis:Achtung, keine Spalten eifügen !!</t>
  </si>
  <si>
    <t>keine Spalten einfügen !!</t>
  </si>
  <si>
    <t>ausgewählte Kultur, Acker</t>
  </si>
  <si>
    <t xml:space="preserve">   1 : die Kultur hat Höchsterträge mit evtl. vergleichsgebietsbezogener Differenzierung; 0 : die Kultur hat allgeim gültige Höchsterträge</t>
  </si>
  <si>
    <t>ausgewählte Vergl.gebiets-Nr.</t>
  </si>
  <si>
    <t>Höchstertrag (allgemein, Acker)</t>
  </si>
  <si>
    <t>angegebener Ertrag (Acker)</t>
  </si>
  <si>
    <t>Spiegelung Boxenzeile</t>
  </si>
  <si>
    <t xml:space="preserve">Körnermais 10 % RP, </t>
  </si>
  <si>
    <t>Höchsterträge dt/ha</t>
  </si>
  <si>
    <t>Mindestertrag (allgemein, Acker)</t>
  </si>
  <si>
    <t>Höchstdüngermenge (allgemein, Acker)</t>
  </si>
  <si>
    <t>Index- Nr.: der Kultur</t>
  </si>
  <si>
    <t>Ergebnis: =gerechneter Ertrag</t>
  </si>
  <si>
    <t>angepasster Wert (Absenkung, Anhebung, Deckelung)</t>
  </si>
  <si>
    <t>Leguminose ?</t>
  </si>
  <si>
    <t>wenn Hauptkultur =Leguminose</t>
  </si>
  <si>
    <t>1 = Kommentar ist relevant; 0 = kein Kommentar</t>
  </si>
  <si>
    <t>Formeln</t>
  </si>
  <si>
    <t>Mais ?</t>
  </si>
  <si>
    <t>wenn Deckelung über Ertrag + VG greift</t>
  </si>
  <si>
    <t>N-gabe nach Abzug Bodenlieferung etc &gt;Höchstwert</t>
  </si>
  <si>
    <t>ggf.VG-bezogener Höchstdüngermenge: kg/ha</t>
  </si>
  <si>
    <t>angepasste/erhöhte oder gedeckelte Düngermenge</t>
  </si>
  <si>
    <t>alle Kulturgruppen: wenn Moor oder Anmoor dann ist oberere Grenzwert immer überschritten:</t>
  </si>
  <si>
    <t>Konsequenz: Abschlag nach Spalte I</t>
  </si>
  <si>
    <t>ausgewählte Bodenart (aus Ackerzahl)</t>
  </si>
  <si>
    <t>Moor oder Anmoor (index-Zeile 4 oder 5)</t>
  </si>
  <si>
    <r>
      <t>ausgewählte Bodenart</t>
    </r>
    <r>
      <rPr>
        <b/>
        <sz val="10"/>
        <color rgb="FFFF0000"/>
        <rFont val="Arial"/>
        <family val="2"/>
      </rPr>
      <t xml:space="preserve"> (aus Ackerzahl)</t>
    </r>
  </si>
  <si>
    <t>über 4,0 % (oder Moor-Anmoorböden) dann Abschlag von 30 kg N,</t>
  </si>
  <si>
    <t>Moor- oder Anmoorböden ?</t>
  </si>
  <si>
    <t>a)</t>
  </si>
  <si>
    <t>b)</t>
  </si>
  <si>
    <t>c)</t>
  </si>
  <si>
    <t>alternativ-Test</t>
  </si>
  <si>
    <t>(2 = Ja)</t>
  </si>
  <si>
    <t>wenn Summe größer 2; dann wird mindestend 1x gedüngt</t>
  </si>
  <si>
    <t>duengungart; 2 = nein/keine; 4=Ja/Min.dü/org.</t>
  </si>
  <si>
    <t>ausgewählte Kultur, Text</t>
  </si>
  <si>
    <t>gerechnete Düngermenge (aus Ergebnis)</t>
  </si>
  <si>
    <t>angepasste Düngempfehlung bei Überschreitung oder Unterschreitung von Schwellenwerten</t>
  </si>
  <si>
    <t>Mindestdüngermenge, bei negativem Ergebnis</t>
  </si>
  <si>
    <t>Mindestdüngermenge (Acker, spezifisch, bei Moor =0)</t>
  </si>
  <si>
    <t>Registerblatt Humus</t>
  </si>
  <si>
    <t>Pauschalwert, wenn Angabe der Vorfrucht fehlt</t>
  </si>
  <si>
    <t>ausgewählt: bei Mais nur flüssige !! Späte N-min</t>
  </si>
  <si>
    <t>N-menge, N-wirksamkeit bereits berücksichtigt</t>
  </si>
  <si>
    <t>N-Mindestwirksamkeit, nur Text</t>
  </si>
  <si>
    <t>Bodenlieferung : nur für Empfehlung "alt "</t>
  </si>
  <si>
    <t>verfügbare N-Menge im Boden,  frühe N-min-</t>
  </si>
  <si>
    <t>nur wenn DüV-Kultur, sonst Null</t>
  </si>
  <si>
    <t>Berechnung nach später Nmin-Methode: Keine Angabe zu eventuell bereits erfolgter N-Gabe (Andüng./Unterfußdüng.): 40 kg N/ha als Mineraldünger angerechnet.</t>
  </si>
  <si>
    <t>nur bei Mais :</t>
  </si>
  <si>
    <t>Gülle - Unterfussdüngung</t>
  </si>
  <si>
    <t>Reg.blatt org. Dü</t>
  </si>
  <si>
    <t xml:space="preserve"> N-menge =Zwangsabzug wenn Eingaben Min.dü+Gülle =leer und Gülle ausgewählt</t>
  </si>
  <si>
    <t>Pauschalabschlag, wenn Auswahl Ja aber keine Menge</t>
  </si>
  <si>
    <t>Ergebnis bei vollständiger Angabe</t>
  </si>
  <si>
    <r>
      <t>Rohproteingehalt</t>
    </r>
    <r>
      <rPr>
        <sz val="11"/>
        <color theme="1"/>
        <rFont val="Arial"/>
        <family val="2"/>
      </rPr>
      <t xml:space="preserve"> [%]</t>
    </r>
  </si>
  <si>
    <t>Ergebnis1: max 40 kg</t>
  </si>
  <si>
    <t>Ergebnis (neu) - Acker</t>
  </si>
  <si>
    <t>3-jähriges Ertragsmittel</t>
  </si>
  <si>
    <t>wenn&lt;er Null, dann ausgefüllt</t>
  </si>
  <si>
    <t>Zischenfrucht - Box-Zeile-Nr.</t>
  </si>
  <si>
    <t>wenn größer Null dann angegeben</t>
  </si>
  <si>
    <t>Wieviele Pflichtangaben erfüllt ?</t>
  </si>
  <si>
    <t>wenn &gt;er 1 dann ausgewählt</t>
  </si>
  <si>
    <t>wenn &gt;er 1 dann ausgewählt, 1 = Sonstige Vorfrucht</t>
  </si>
  <si>
    <t>wenn &gt;er 1 dann ausgewählt, 1 = bitte auswählen</t>
  </si>
  <si>
    <t>von</t>
  </si>
  <si>
    <t xml:space="preserve"> Pflichtangaben</t>
  </si>
  <si>
    <t>nicht erfüllte Pflichtangaben:</t>
  </si>
  <si>
    <t>gedeckelter/angehobener Ertrag Ertrag</t>
  </si>
  <si>
    <t>wenn 2 Pflichtfelder nicht ausgefüllt sind: kein Ergebnis</t>
  </si>
  <si>
    <t>3-jähriger Ertragsdurchschnitt unter Mindestertrag</t>
  </si>
  <si>
    <t>1 Pflichtfeld (Hauptfrucht, 3-jähriges Ertragsmittel, Vorfrucht, Zwischenfrucht, org. Düngung Vorjahr, Humusgehalt) nicht ausgefüllt, es wird berechnet aber "Dies ist ein Nachweis nach DüV" nicht angezeigt</t>
  </si>
  <si>
    <t>2 Pflichtfelder (Hauptfrucht, 3-jähriges Ertragsmittel, Vorfrucht, Zwischenfrucht, org. Düngung Vorjahr, Humusgehalt)  nicht ausgefüllt, es wird nicht Berechnet nur Kommentar und Analysewerte werden ausgegeben!</t>
  </si>
  <si>
    <t>Attestkomentare</t>
  </si>
  <si>
    <t>Zwischenfrucht (b)</t>
  </si>
  <si>
    <t>Summe Abschlag Vorfrucht + Zwischenfrucht</t>
  </si>
  <si>
    <t>maximaler Abschlag der Summe Vorfr.+Zwi.fr.</t>
  </si>
  <si>
    <r>
      <t>Abschläg Vorfrucht,</t>
    </r>
    <r>
      <rPr>
        <sz val="11"/>
        <color rgb="FFFF0000"/>
        <rFont val="Arial"/>
        <family val="2"/>
      </rPr>
      <t xml:space="preserve"> max 40 kg bereits lt. Tabellenwert</t>
    </r>
  </si>
  <si>
    <t>Ergebnis: Abschlag Zwischenfrucht ggf. korrigiert auf max. 40 kg</t>
  </si>
  <si>
    <t>der Abschlag darf max. 40 kg/ha betragen, da bei Vorfrüchten lt. Tabelle max. 40 kg/ha Abschlag möglich ist erfolgt der Abschlag nur bei den Zwischenfrüchtwen</t>
  </si>
  <si>
    <t>Abschlag wg. Moorboden ist ggf. berücksichtigt !</t>
  </si>
  <si>
    <t>Schwellenwert: Berechnung erforderlich</t>
  </si>
  <si>
    <t>berechneter Düngebedarf / Obergrenze unter 50 kg /ha</t>
  </si>
  <si>
    <t>Haupptfrucht</t>
  </si>
  <si>
    <t>Abfuhrsituation</t>
  </si>
  <si>
    <t>Bodengehaltswert P2O5</t>
  </si>
  <si>
    <t>Bodengehaltswert K2O</t>
  </si>
  <si>
    <t>Bodengehaltswert MGO</t>
  </si>
  <si>
    <t>2 Pflichtfelder (Hauptfrucht, 3-jähriges Ertragsmittel, Bodengehaltswert, Bodenart) nicht ausgefüllt, es wird nicht berechnet nur Kommentare werden ausgegeben!</t>
  </si>
  <si>
    <t>Bodengehaltswerte nicht ausgefüllt, es wird nicht berechnet nur Kommentare werden ausgegeben!</t>
  </si>
  <si>
    <t>1 Pflichtfeld (Hauptfrucht, 3-jähriges Ertragsmittel, Bodengehaltswert, Bodenart) nicht ausgefüllt, es wird berechnet aber "Dies ist ein Nachweis nach DüV" nicht angezeigt</t>
  </si>
  <si>
    <t>Aufgrund unvollständiger Angaben war keine Düngebedarfsberechnung für Kalk möglich.</t>
  </si>
  <si>
    <t>mindestens 1 Pflichtfeld (Humusgehalt, pH-Wert) nicht ausgefüllt, es wird nicht berechnet nur Kommentare werden ausgegeben!</t>
  </si>
  <si>
    <t>Der ermittelte Düngebedarf ist an die festgelegte minimale Ertragserwartung angepasst.</t>
  </si>
  <si>
    <t>„Bei sichtbarem Magnesiummangel an den Reben sollte mehrfach eine Magnesium- Blattdüngung durchgeführt werden. Auf Keuperstandorten kann die Mg-Düngung reduziert werden."</t>
  </si>
  <si>
    <t>ergänzend bei Ausgabe eines Ergebniswertes für MgO</t>
  </si>
  <si>
    <t>Aufgrund fehlender Angaben der Bodengehaltswerte war keine Düngebedarfsberechnung für P2O5 möglich.</t>
  </si>
  <si>
    <t>Aufgrund fehlender Angaben der Bodengehaltswerte war keine Düngebedarfsberechnung für K2O möglich.</t>
  </si>
  <si>
    <t>Aufgrund fehlender Angaben der Bodengehaltswerte war keine Düngebedarfsberechnung für MGO möglich.</t>
  </si>
  <si>
    <t>immer o.k., da voreingestellte Situation</t>
  </si>
  <si>
    <t>wenn bei Bodengehaltswerten kein Eintrag, dann keine Berechnung und nur Kommentar</t>
  </si>
  <si>
    <t>Aufgrund unvollständiger Angaben war keine Düngebedarfsberechnung für P2O5 möglich.</t>
  </si>
  <si>
    <t>Pflichtfelder</t>
  </si>
  <si>
    <t>Anzahl</t>
  </si>
  <si>
    <t>Lieferung Boden P2O5</t>
  </si>
  <si>
    <t>Lieferung Boden K2O</t>
  </si>
  <si>
    <t>immer o.k., da voreingestellt</t>
  </si>
  <si>
    <t>Aufgrund unvollständiger Angaben war keine Düngebedarfsberechnung für K2O möglich.</t>
  </si>
  <si>
    <t>Aufgrund unvollständiger Angaben war keine Düngebedarfsberechnung für MgO möglich.</t>
  </si>
  <si>
    <t>Aufgrund fehlender Angaben der Bodengehaltswerte war keine Düngebedarfsberechnung für  K2O  möglich.</t>
  </si>
  <si>
    <t>Aufgrund fehlender Angaben der Bodengehaltswerte war keine Düngebedarfsberechnung für MgO möglich.</t>
  </si>
  <si>
    <t>Ertrag Tabellenwert</t>
  </si>
  <si>
    <t>Pflichtfelder - Grünland</t>
  </si>
  <si>
    <t>Textbeschrieb</t>
  </si>
  <si>
    <t>nach Abfrage zu Ersatz durch Vorjahresertrag</t>
  </si>
  <si>
    <t>nur bei Erdbeeren</t>
  </si>
  <si>
    <r>
      <t>Daten /</t>
    </r>
    <r>
      <rPr>
        <b/>
        <sz val="10"/>
        <color theme="3" tint="0.39997558519241921"/>
        <rFont val="Arial"/>
        <family val="2"/>
      </rPr>
      <t xml:space="preserve"> </t>
    </r>
    <r>
      <rPr>
        <sz val="10"/>
        <color theme="3" tint="0.39997558519241921"/>
        <rFont val="Arial"/>
        <family val="2"/>
      </rPr>
      <t>Boxen-Nr.</t>
    </r>
  </si>
  <si>
    <t>Die Datenliste ist vorläufig und dient der Speicherung aller Daten der Eingabe (AB/GL/OR) , z.B. auch im csv-Format</t>
  </si>
  <si>
    <t>sowie der Leerung des Eingabeblattes und der Rückstellung der Boxen auf die Grundeinstellung.</t>
  </si>
  <si>
    <t>Grundeinstellung</t>
  </si>
  <si>
    <t>Extra: Obst und Reben</t>
  </si>
  <si>
    <t>vlt. ohne Begründung &gt;&gt;&gt; könnte Wunsch nach gleicher Handhabung für alle Kulturen nach sich ziehen</t>
  </si>
  <si>
    <t>Der Ertragsanteil von Leguminosen [%] wird mit einem Abschlag bei der Ermittlung der N-Obergrenze für Grünland berücksichtigt.</t>
  </si>
  <si>
    <t xml:space="preserve">Für Reben wird der Düngebedarf an Grundnährstoffen mittels einer anhand von Versuchen abgeleiteten Formel berrechnet. In diese </t>
  </si>
  <si>
    <t xml:space="preserve"> Hyperlink Algorithmen Reben</t>
  </si>
  <si>
    <t>geht lediglich der Bodengehaltswert für die entsprechenden Grundnähstoffe ein.</t>
  </si>
  <si>
    <t xml:space="preserve"> Hyperlink "Due_org"</t>
  </si>
  <si>
    <t xml:space="preserve"> Hyperlink "Mais_Boden"</t>
  </si>
  <si>
    <t xml:space="preserve"> Hyperlink "N-Lieferung aus Bodenvorrat"</t>
  </si>
  <si>
    <t>Den Sonderfall Mais gilt es bei der Berechnung nicht weiter zu berücksichtigen, sodass eine entsprechende Abfrage entfällt.</t>
  </si>
  <si>
    <t>Besonderheiten Obst und Reben</t>
  </si>
  <si>
    <t>Grundnährstoffe und Kalk</t>
  </si>
  <si>
    <t xml:space="preserve"> Hyperlink "AB_Kalk"</t>
  </si>
  <si>
    <t xml:space="preserve"> Hyperlink "GL_Kalk"</t>
  </si>
  <si>
    <t xml:space="preserve"> Hyperlink "OR_Kalk"</t>
  </si>
  <si>
    <t>Liegt der Humusgehalt über 15 %, so besteht für diese Kulturgruppe kein Düngebedarf an Kalk und im Ergebnis wird eine Null ausgewiesen.</t>
  </si>
  <si>
    <t>Der ermittelte Düngebedarf für Kalk bezieht sich auf 4 Jahre.</t>
  </si>
  <si>
    <t>Der ermittelte Düngebedarf zur gesamten Grundnährstoffgabe (P2O5) ist auf den Mindestwert angehoben.</t>
  </si>
  <si>
    <t>Der ermittelte Düngebedarf zur gesamten Grundnährstoffgabe (K2O) ist auf den Mindestwert angehoben.</t>
  </si>
  <si>
    <t>Der ermittelte Düngebedarf zur gesamten Grundnährstoffgabe (MGO) ist auf den Mindestwert angehoben.</t>
  </si>
  <si>
    <t>grundsätzlicher Kommentar</t>
  </si>
  <si>
    <t>Rangfolge</t>
  </si>
  <si>
    <t>ausgewählt Box-Nr:</t>
  </si>
  <si>
    <t>Korrektur bei fehlender Angabe</t>
  </si>
  <si>
    <t>ggf. korrigiertes Ergebnis</t>
  </si>
  <si>
    <t>Anteil Leguminosen</t>
  </si>
  <si>
    <t>Durchschnittsertrag</t>
  </si>
  <si>
    <t>Vorjahresdüngung</t>
  </si>
  <si>
    <t>N-Nachlieferung Bodenvorrat</t>
  </si>
  <si>
    <t>wenn &gt;er 0 dann ausgewählt</t>
  </si>
  <si>
    <t>GL_N : Wieviele Pflichtangaben erfüllt ?</t>
  </si>
  <si>
    <t>Box-Zeile</t>
  </si>
  <si>
    <t>GL_Bodenvorrat</t>
  </si>
  <si>
    <t>Auswahllisten :Ja/Nein-Auswahl</t>
  </si>
  <si>
    <t xml:space="preserve">Formel </t>
  </si>
  <si>
    <t>Eintrag vorhanden &gt;&gt;&gt; 1 sonst 0</t>
  </si>
  <si>
    <t>Überschreitung Schwellenwert&gt;&gt;&gt; 1 sonst 0</t>
  </si>
  <si>
    <t>Umfang Abweichung [%]</t>
  </si>
  <si>
    <t>Vorjahresabweichung, Vorjahr wählen?</t>
  </si>
  <si>
    <t>Komentar zählen</t>
  </si>
  <si>
    <t>Anzahl mögliche Kommentare</t>
  </si>
  <si>
    <t>N-Lieferung Bodenvorrat:</t>
  </si>
  <si>
    <r>
      <rPr>
        <sz val="8"/>
        <color theme="1"/>
        <rFont val="Arial"/>
        <family val="2"/>
      </rPr>
      <t>(Empfehlung)</t>
    </r>
    <r>
      <rPr>
        <sz val="11"/>
        <color theme="1"/>
        <rFont val="Arial"/>
        <family val="2"/>
      </rPr>
      <t xml:space="preserve"> Ackerzahl, Bodenart</t>
    </r>
  </si>
  <si>
    <r>
      <rPr>
        <sz val="8"/>
        <color theme="1"/>
        <rFont val="Arial"/>
        <family val="2"/>
      </rPr>
      <t>(Obergrenze n. DüV)</t>
    </r>
    <r>
      <rPr>
        <sz val="11"/>
        <color theme="1"/>
        <rFont val="Arial"/>
        <family val="2"/>
      </rPr>
      <t xml:space="preserve"> Humusgehalt</t>
    </r>
  </si>
  <si>
    <t>Vorfrucht, Abfuhr Erntereste (a)</t>
  </si>
  <si>
    <t>(N-Gehalt * ausgebrachte Menge * 10 % angerechnet)</t>
  </si>
  <si>
    <r>
      <t xml:space="preserve">Mineraldünger </t>
    </r>
    <r>
      <rPr>
        <sz val="8"/>
        <color theme="1"/>
        <rFont val="Arial"/>
        <family val="2"/>
      </rPr>
      <t>(Unterfußdüngung)</t>
    </r>
  </si>
  <si>
    <t>bereits ausgebrachte N-Düngung</t>
  </si>
  <si>
    <t>zu düngende Restmenge</t>
  </si>
  <si>
    <t>Abfuhr Erntereste</t>
  </si>
  <si>
    <t>(Ertrag * N-Entzugswert + nicht erntbare Restpflanze)</t>
  </si>
  <si>
    <t>(N-Gehalt * ausgebrachte Menge * N-Min.-wirksamkeit)</t>
  </si>
  <si>
    <r>
      <t>K</t>
    </r>
    <r>
      <rPr>
        <b/>
        <vertAlign val="subscript"/>
        <sz val="11"/>
        <color theme="1"/>
        <rFont val="Arial"/>
        <family val="2"/>
      </rPr>
      <t>2</t>
    </r>
    <r>
      <rPr>
        <b/>
        <sz val="11"/>
        <color theme="1"/>
        <rFont val="Arial"/>
        <family val="2"/>
      </rPr>
      <t>O-/MgO-Düngebedarf</t>
    </r>
  </si>
  <si>
    <t>zur Saat</t>
  </si>
  <si>
    <t>Mineraldünger-Unterfuß</t>
  </si>
  <si>
    <t xml:space="preserve">Ertragserwartung [dt/ha] </t>
  </si>
  <si>
    <r>
      <t xml:space="preserve">Abdeckung </t>
    </r>
    <r>
      <rPr>
        <sz val="8"/>
        <color theme="1"/>
        <rFont val="Arial"/>
        <family val="2"/>
      </rPr>
      <t>(Folie/Vlies)</t>
    </r>
  </si>
  <si>
    <t>Umbruch Leguminosen</t>
  </si>
  <si>
    <t>Akuter N-Mangel</t>
  </si>
  <si>
    <r>
      <t>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/K</t>
    </r>
    <r>
      <rPr>
        <vertAlign val="subscript"/>
        <sz val="11"/>
        <color theme="1"/>
        <rFont val="Arial"/>
        <family val="2"/>
      </rPr>
      <t>2</t>
    </r>
    <r>
      <rPr>
        <sz val="11"/>
        <color theme="1"/>
        <rFont val="Arial"/>
        <family val="2"/>
      </rPr>
      <t>O-/MgO-Abfuhr [kg/ha]</t>
    </r>
  </si>
  <si>
    <t>Erntereste abgefahren</t>
  </si>
  <si>
    <t>mineralische/organische Düngung nach Ernte der Vorfrucht</t>
  </si>
  <si>
    <t>(Unterfuß)</t>
  </si>
  <si>
    <t>(Zu- /Abschlag zu Standardrohproteingehalt)</t>
  </si>
  <si>
    <t>N-Lieferung Bodenvorrat</t>
  </si>
  <si>
    <t>N-Lieferung aus N-Bindung von Leguminosen</t>
  </si>
  <si>
    <t>Ø-Ertrag</t>
  </si>
  <si>
    <t>…..wenn Durchschnittsertrag weil keine Angabe ??</t>
  </si>
  <si>
    <t>Angaben zum Ertrag ? Ja/nein</t>
  </si>
  <si>
    <t>fikt. Ø-ertrag (keine Angaben)</t>
  </si>
  <si>
    <t>enthält ggf. den Durchschnittsertrag, wenn keine Angaben zum Ertrag gemacht wurden.</t>
  </si>
  <si>
    <t>Kein Ertrag angegeben, es wurde mit einem mittleren Ertrag gerechnet.</t>
  </si>
  <si>
    <t>wenn die Bodenart nicht Moor ist und der eingegebene Humusgehalt unter 15 % ist,dann wird eine ph-Klasse ausgelesen.</t>
  </si>
  <si>
    <t>wenn die Bodenart Moor ist dann entfällt die ph-Klasse</t>
  </si>
  <si>
    <t>a) organische Düngung Vorjahr, Düngemittel</t>
  </si>
  <si>
    <t>b) organische Düngung Vorjahr, Düngemittel</t>
  </si>
  <si>
    <t>Der ermittelte Düngebedarf zur gesamten N-Gabe ist auf den Mindestwert angehoben.</t>
  </si>
  <si>
    <t>Vorfrucht (nur bei Erdbeeren)</t>
  </si>
  <si>
    <t>N-min-Wert</t>
  </si>
  <si>
    <t xml:space="preserve">wenn &gt;er 0 dann ausgewählt, </t>
  </si>
  <si>
    <t>org. Düngung a)</t>
  </si>
  <si>
    <t>org. Düngung b)</t>
  </si>
  <si>
    <t xml:space="preserve">wenn Null oder &lt;er Null, dann ausgefüllt, </t>
  </si>
  <si>
    <t>a)organische Düngung Vorjahr</t>
  </si>
  <si>
    <t>b)organische Düngung Vorjahr</t>
  </si>
  <si>
    <t>Kein Ertrag angegeben, es wurde mit einem mittleren Ertrag (Tabellenertrag) gerechnet.</t>
  </si>
  <si>
    <t>Fall kann z.Zt.  nicht auftreten</t>
  </si>
  <si>
    <t>Gemarkungs-Nr.</t>
  </si>
  <si>
    <t xml:space="preserve"> = VG 14</t>
  </si>
  <si>
    <t>ggf. VG-bezogener Höchstertrag: dt/ha</t>
  </si>
  <si>
    <t>Vergleichsgebiet-Nr.</t>
  </si>
  <si>
    <t>Dropdownboxen</t>
  </si>
  <si>
    <t>Bodenschwere</t>
  </si>
  <si>
    <t>kg N / Einheit</t>
  </si>
  <si>
    <t>zu verrechnender Wert-Inhaltsstoff</t>
  </si>
  <si>
    <t>wenn kein Dünger ausgewählt, dann Null</t>
  </si>
  <si>
    <t>Eigenanalysewert [kg N/m³] -Vorjahr nur wenn Dünger ausgewählt !)</t>
  </si>
  <si>
    <t>Eigenanalysewert [kg N/m³] -Vorjahr , nur wenn Dünger ausgewählt</t>
  </si>
  <si>
    <t>späte N-min ?</t>
  </si>
  <si>
    <t>org. Dü</t>
  </si>
  <si>
    <t>WD-Dü Mais</t>
  </si>
  <si>
    <t>Abfur E.rest ?</t>
  </si>
  <si>
    <r>
      <rPr>
        <sz val="11"/>
        <color rgb="FFFF0000"/>
        <rFont val="Arial"/>
        <family val="2"/>
      </rPr>
      <t>weitere</t>
    </r>
    <r>
      <rPr>
        <sz val="11"/>
        <rFont val="Arial"/>
        <family val="2"/>
      </rPr>
      <t xml:space="preserve"> organische Düngung</t>
    </r>
    <r>
      <rPr>
        <sz val="11"/>
        <color rgb="FFFF0000"/>
        <rFont val="Arial"/>
        <family val="2"/>
      </rPr>
      <t xml:space="preserve"> im Vorjahr</t>
    </r>
  </si>
  <si>
    <r>
      <t xml:space="preserve">Düngemittel </t>
    </r>
    <r>
      <rPr>
        <b/>
        <sz val="11"/>
        <color rgb="FFFF0000"/>
        <rFont val="Arial"/>
        <family val="2"/>
      </rPr>
      <t>*</t>
    </r>
  </si>
  <si>
    <r>
      <t xml:space="preserve">flüssiger WD [m³/ha], fester WD [t/ha] </t>
    </r>
    <r>
      <rPr>
        <b/>
        <sz val="11"/>
        <color rgb="FFFF0000"/>
        <rFont val="Arial"/>
        <family val="2"/>
      </rPr>
      <t>*</t>
    </r>
  </si>
  <si>
    <r>
      <t xml:space="preserve">Bodenart </t>
    </r>
    <r>
      <rPr>
        <b/>
        <sz val="11"/>
        <color rgb="FFFF0000"/>
        <rFont val="Arial"/>
        <family val="2"/>
      </rPr>
      <t>***</t>
    </r>
  </si>
  <si>
    <r>
      <t xml:space="preserve">Hauptfrucht </t>
    </r>
    <r>
      <rPr>
        <b/>
        <sz val="11"/>
        <color rgb="FFFF0000"/>
        <rFont val="Arial"/>
        <family val="2"/>
      </rPr>
      <t>*</t>
    </r>
  </si>
  <si>
    <r>
      <t xml:space="preserve">Referenz- oder Eigenanalysewert [kg N/ha] </t>
    </r>
    <r>
      <rPr>
        <b/>
        <sz val="11"/>
        <color rgb="FFFF0000"/>
        <rFont val="Arial"/>
        <family val="2"/>
      </rPr>
      <t>*</t>
    </r>
  </si>
  <si>
    <r>
      <t xml:space="preserve">Vorfrucht </t>
    </r>
    <r>
      <rPr>
        <b/>
        <sz val="11"/>
        <color rgb="FFFF0000"/>
        <rFont val="Arial"/>
        <family val="2"/>
      </rPr>
      <t>*</t>
    </r>
  </si>
  <si>
    <r>
      <t xml:space="preserve">Zwischenfrucht </t>
    </r>
    <r>
      <rPr>
        <b/>
        <sz val="11"/>
        <color rgb="FFFF0000"/>
        <rFont val="Arial"/>
        <family val="2"/>
      </rPr>
      <t>*</t>
    </r>
  </si>
  <si>
    <r>
      <t xml:space="preserve">Düngemittel </t>
    </r>
    <r>
      <rPr>
        <b/>
        <sz val="11"/>
        <color rgb="FFFF0000"/>
        <rFont val="Arial"/>
        <family val="2"/>
      </rPr>
      <t>**</t>
    </r>
  </si>
  <si>
    <r>
      <t xml:space="preserve">Ertrag [dt/ha] </t>
    </r>
    <r>
      <rPr>
        <b/>
        <sz val="11"/>
        <color rgb="FFFF0000"/>
        <rFont val="Arial"/>
        <family val="2"/>
      </rPr>
      <t>*</t>
    </r>
  </si>
  <si>
    <t>ggf. "Ja" oder "Nein" auswählen!</t>
  </si>
  <si>
    <r>
      <t xml:space="preserve">N-Nachlieferung aus Bodenvorrat </t>
    </r>
    <r>
      <rPr>
        <b/>
        <sz val="11"/>
        <color rgb="FFFF0000"/>
        <rFont val="Arial"/>
        <family val="2"/>
      </rPr>
      <t>*</t>
    </r>
  </si>
  <si>
    <r>
      <t xml:space="preserve">Ertragsanteil Leguminosen </t>
    </r>
    <r>
      <rPr>
        <sz val="11"/>
        <color rgb="FFFF0000"/>
        <rFont val="Arial"/>
        <family val="2"/>
      </rPr>
      <t>*</t>
    </r>
  </si>
  <si>
    <r>
      <t xml:space="preserve">Humusgehalt </t>
    </r>
    <r>
      <rPr>
        <b/>
        <sz val="11"/>
        <color rgb="FFFF0000"/>
        <rFont val="Arial"/>
        <family val="2"/>
      </rPr>
      <t>*</t>
    </r>
  </si>
  <si>
    <r>
      <t xml:space="preserve">Düngung </t>
    </r>
    <r>
      <rPr>
        <sz val="11"/>
        <color rgb="FFFF0000"/>
        <rFont val="Arial"/>
        <family val="2"/>
      </rPr>
      <t xml:space="preserve">im Herbst </t>
    </r>
    <r>
      <rPr>
        <sz val="11"/>
        <color theme="1"/>
        <rFont val="Arial"/>
        <family val="2"/>
      </rPr>
      <t>(nach der Ernte der Vorfrucht bzw. zur Zwischenfrucht oder Begrünung)</t>
    </r>
  </si>
  <si>
    <r>
      <rPr>
        <sz val="11"/>
        <color rgb="FFFF0000"/>
        <rFont val="Arial"/>
        <family val="2"/>
      </rPr>
      <t>weitere</t>
    </r>
    <r>
      <rPr>
        <sz val="11"/>
        <rFont val="Arial"/>
        <family val="2"/>
      </rPr>
      <t xml:space="preserve"> organische Düngung </t>
    </r>
    <r>
      <rPr>
        <sz val="11"/>
        <color rgb="FFFF0000"/>
        <rFont val="Arial"/>
        <family val="2"/>
      </rPr>
      <t>im Vorjahr</t>
    </r>
  </si>
  <si>
    <r>
      <t xml:space="preserve">Ertrag [dt TM/ha] </t>
    </r>
    <r>
      <rPr>
        <b/>
        <sz val="11"/>
        <color rgb="FFFF0000"/>
        <rFont val="Arial"/>
        <family val="2"/>
      </rPr>
      <t>*</t>
    </r>
  </si>
  <si>
    <r>
      <t xml:space="preserve">Mineraldünger [kg N/ha] </t>
    </r>
    <r>
      <rPr>
        <b/>
        <sz val="11"/>
        <color rgb="FFFF0000"/>
        <rFont val="Arial"/>
        <family val="2"/>
      </rPr>
      <t xml:space="preserve">**  </t>
    </r>
  </si>
  <si>
    <t>nur wenn ein Bodengehalt angegeben ist</t>
  </si>
  <si>
    <t>(Nachweispflicht nur bei Erdbeeren u. Reben ?)</t>
  </si>
  <si>
    <t>1 = "bitte auswählen"; dann keine Werte im Ergebnis</t>
  </si>
  <si>
    <t>&gt;20%</t>
  </si>
  <si>
    <t>Mindestdüngermenge (allgemein, fix, wenn kein negatives Ergebnis)</t>
  </si>
  <si>
    <t xml:space="preserve"> = fehlende Pflichtangabe</t>
  </si>
  <si>
    <t>Ertragsangabe Ja/Nein</t>
  </si>
  <si>
    <t>Mindestdüngermenge gilt nicht bei Moor-und Anmoorböden</t>
  </si>
  <si>
    <t xml:space="preserve"> 1 = nein, 2 = Ja</t>
  </si>
  <si>
    <t>Kulturen</t>
  </si>
  <si>
    <t>Ertraege_Duengemengen</t>
  </si>
  <si>
    <t>Vorfruechte</t>
  </si>
  <si>
    <t>Zwfru</t>
  </si>
  <si>
    <t>Due_org</t>
  </si>
  <si>
    <t>Mais_Boden</t>
  </si>
  <si>
    <t>Nachlieferung_Leg</t>
  </si>
  <si>
    <t>Bodenarten</t>
  </si>
  <si>
    <t>Humus</t>
  </si>
  <si>
    <t>PKMg</t>
  </si>
  <si>
    <t>AB_Kalk</t>
  </si>
  <si>
    <t>GL_Kalk</t>
  </si>
  <si>
    <t xml:space="preserve">OR_Kalk </t>
  </si>
  <si>
    <t>Gemarkungen</t>
  </si>
  <si>
    <t>Ertragsermittlung</t>
  </si>
  <si>
    <t>Deckelung durch N-Obergrenze</t>
  </si>
  <si>
    <t>berechnetes Ergebnis</t>
  </si>
  <si>
    <t>RP-gehaltermittlung</t>
  </si>
  <si>
    <t>berechnetes Ergebnis:</t>
  </si>
  <si>
    <t>Berechnetes Ergebnis Obst oder Rebe</t>
  </si>
  <si>
    <t>Verrechnungsbereich</t>
  </si>
  <si>
    <t>Entwicklungsstand:</t>
  </si>
  <si>
    <t>Stammdaten:</t>
  </si>
  <si>
    <t>Nun bekommen Sie die zur Auswahl stehenden Blätter angezeigt und können das gewünschte auswählen.</t>
  </si>
  <si>
    <t>Informationen:</t>
  </si>
  <si>
    <t>Titel:</t>
  </si>
  <si>
    <t>Kurzbeschreibung:</t>
  </si>
  <si>
    <t>Bei Eingabe der entsprechenden Gemarkungs-Nr., welche für den zu berechnenden Schlag repräsentativ ist, wird mittels der Tabelle das zugehörige Vergleichsgebiet ausgelesen.</t>
  </si>
  <si>
    <t>Angaben zum Vergleichsgebiet sind aufgrund der zu berücksichtigenden spezifischen Höchsterträge und -düngemengen im Ackerbau erforderlich.</t>
  </si>
  <si>
    <t>Informationen zu den Kulturen</t>
  </si>
  <si>
    <t>MgO_Zuschlag_nicht_erntbar</t>
  </si>
  <si>
    <t>P2O5_Zuschlag_nicht_erntbar</t>
  </si>
  <si>
    <t>K2O_Zuschlag_nicht_erntbar</t>
  </si>
  <si>
    <t>ja: 1/nein: 0</t>
  </si>
  <si>
    <t>(rote Ziffern wg. "weicher" Programmierung)</t>
  </si>
  <si>
    <t>neuer Rechengang (gilt auch für Erdbeeren) !!</t>
  </si>
  <si>
    <t>Zwischenformel:wenn Auswahl eines Düngers u. keine Menge, dann Meldung</t>
  </si>
  <si>
    <r>
      <t>bereits ausgebrachte N-Düngung (späte N</t>
    </r>
    <r>
      <rPr>
        <sz val="8"/>
        <color theme="1"/>
        <rFont val="Arial"/>
        <family val="2"/>
      </rPr>
      <t xml:space="preserve">min </t>
    </r>
    <r>
      <rPr>
        <sz val="11"/>
        <color theme="1"/>
        <rFont val="Arial"/>
        <family val="2"/>
      </rPr>
      <t>bei Mais)</t>
    </r>
  </si>
  <si>
    <t>Struktur und Funktionsweise</t>
  </si>
  <si>
    <t>Bitte speichern Sie diese Datei einmalig in Ihrer Ursprungsform, sodass Sie diese für neue Berechnungen wiederaufrufen können.</t>
  </si>
  <si>
    <t>Inhalt</t>
  </si>
  <si>
    <t>Registerblatt</t>
  </si>
  <si>
    <t>Höchst-/Mindesterträge u. Höchst-/Mindestdüngemengen</t>
  </si>
  <si>
    <t>Ackerbaukulturen: Tableau zum Kaldüngebedarf von in Abhängigkeit verschiedener Faktoren</t>
  </si>
  <si>
    <t>Zuordnung zu Vergleichsgebieten anhand der Gemarkung</t>
  </si>
  <si>
    <t>Entwicklungssoftware:</t>
  </si>
  <si>
    <r>
      <t>Technische Redaktion</t>
    </r>
    <r>
      <rPr>
        <b/>
        <sz val="11"/>
        <color theme="1"/>
        <rFont val="Arial"/>
        <family val="2"/>
      </rPr>
      <t>:</t>
    </r>
  </si>
  <si>
    <t>&gt;&gt;&gt; Kommentare</t>
  </si>
  <si>
    <t>Grünland:                                                    "                                                             "</t>
  </si>
  <si>
    <t>Obst u. Reben:                                           "                                                             "</t>
  </si>
  <si>
    <t>bei fehlender Auswahl der Hauptkultur wird nur Kommentar 1 ausgegeben !!</t>
  </si>
  <si>
    <t>wenn keine Hauptkultur ausgewählt &gt;&gt; 1</t>
  </si>
  <si>
    <t>Aufgrund unvollständiger Angaben war keine Düngebedarfsberechnung für MGO möglich.</t>
  </si>
  <si>
    <t>Dieses Attest gilt als Aufzeichnung gemäß DüV  §10 (1) Nr.1.</t>
  </si>
  <si>
    <t>Es handelt sich nicht um eine Aufzeichnung gemäß DüV § 10 (1) Nr. 1.</t>
  </si>
  <si>
    <r>
      <t>2 Pflichtfelder (Hauptfrucht, 3-jähriges Ertragsmittel, Anteil Leguminosen., Vorjahresdüngung,, Bodenvorrat, es</t>
    </r>
    <r>
      <rPr>
        <sz val="8"/>
        <color indexed="8"/>
        <rFont val="Arial"/>
        <family val="2"/>
      </rPr>
      <t xml:space="preserve"> wird berechnet aber "Dies ist ein Nachweis nach DüV" nicht angezeigt</t>
    </r>
  </si>
  <si>
    <r>
      <t>1 Pflichtfeld (Hauptfrucht, 3-jähriges Ertragsmittel, Anteil Leguminosen., Vorjahresdüngung,, Bodenvorrat, es</t>
    </r>
    <r>
      <rPr>
        <sz val="8"/>
        <color indexed="8"/>
        <rFont val="Arial"/>
        <family val="2"/>
      </rPr>
      <t xml:space="preserve"> wird berechnet aber "Dies ist ein Nachweis nach DüV" nicht angezeigt</t>
    </r>
  </si>
  <si>
    <t>K2O-Kategorien - Reben</t>
  </si>
  <si>
    <t>Microsoft EXCEL 2010</t>
  </si>
  <si>
    <t>Testvermerk</t>
  </si>
  <si>
    <t>Basiszahlen bzgl. zu wählender Kulturen u. Verrechnungsbereich</t>
  </si>
  <si>
    <t>Ermittlung des Abschlages an Stickstoff aufgrund der Vorfrucht u. Entzugszahlen zu Grundnährstoffen</t>
  </si>
  <si>
    <t>Ermittlung des Abschlages an Stickstoff aufgrund des Zwischenfruchtanbaus</t>
  </si>
  <si>
    <t>Basiszahlen bzgl. zu wählenden organ. u. organ.-mineral. Düngemitteln</t>
  </si>
  <si>
    <t>Ermittlung des Verrechnungswertes zur Bodennachlieferung an Stickstoff für Ackerbaukulturen</t>
  </si>
  <si>
    <t>Ermittlung des Verrechnungswertes zur Bodennachlieferung an Stickstoff im Fall von Maiskulturen</t>
  </si>
  <si>
    <t>Ermittlung des Abschlages an Stickstoff anhand des Leguminosenanteils von Grünlandbeständen</t>
  </si>
  <si>
    <t>Ermittlung des Abschlages an Stickstoff anhand der organischen Substanz von Grünlandböden</t>
  </si>
  <si>
    <t>Auslesen der Bodenart für weitere Verrechnung</t>
  </si>
  <si>
    <t>Ermittlung des Zu-/Abschlages an Stickstoff anhand des Humusgehaltes</t>
  </si>
  <si>
    <t>Kommentarliste</t>
  </si>
  <si>
    <t>Kommentare zur Erläuterung der Berechnung</t>
  </si>
  <si>
    <t>Datenliste</t>
  </si>
  <si>
    <t>Auflistung der eingegebenen Daten</t>
  </si>
  <si>
    <t>.</t>
  </si>
  <si>
    <t>Kommentare: Grünland, Kalk</t>
  </si>
  <si>
    <t>Auswahl bei späte N.min bis einschl. grüne Zeile</t>
  </si>
  <si>
    <t>Die verfügbare N-Menge im Boden gilt es bei der Berechnung nicht weiter zu berücksichtigen, sodass eine entsprechende Abfrage entfällt.</t>
  </si>
  <si>
    <t>Selbiges gilt im Fall der Düngeempfehlung für Kalk [dt/ha], die eine Angabe zur maximal empfohlenen Menge an Kalk je Einzelgabe und Jahr darstellt.</t>
  </si>
  <si>
    <t>Die Registerblätter zu den Stammdaten sind aus Gründen der Übersichtlichkeit standardmäßig (Ausnahme: Gemarkungen,</t>
  </si>
  <si>
    <t xml:space="preserve">Due_org) ausgeblendet. Zum Einblenden des entsprechenden Stammdatenblattes klicken Sie bitte mit rechts auf </t>
  </si>
  <si>
    <t>ein beliebiges Registerblatt, bspw. Startmenue und klicken anschließend auf Einblenden…</t>
  </si>
  <si>
    <t>Abschlag von 40 kg N/ha, wenn keine Angaben zur bereits ausgebrachten Düngung</t>
  </si>
  <si>
    <r>
      <t xml:space="preserve">flüssiger WD [m³/ha], fester WD [t/ha] </t>
    </r>
    <r>
      <rPr>
        <b/>
        <sz val="11"/>
        <color rgb="FFFF0000"/>
        <rFont val="Arial"/>
        <family val="2"/>
      </rPr>
      <t>**</t>
    </r>
  </si>
  <si>
    <t xml:space="preserve">Kommentare: Ackerbau - N - </t>
  </si>
  <si>
    <t>Kommentare: Ackerbau - Kalk -</t>
  </si>
  <si>
    <t>Kommentare: Grünland, mehrschnittiger Feldfutterbau - N -</t>
  </si>
  <si>
    <t>Kommentare: Obst, Reben - N -</t>
  </si>
  <si>
    <t>Kommentare: Obst, Reben - Kalk -</t>
  </si>
  <si>
    <r>
      <t>Liegt die berechnete Düngeempfehlung &lt;0 kg P</t>
    </r>
    <r>
      <rPr>
        <vertAlign val="subscript"/>
        <sz val="8"/>
        <color theme="1"/>
        <rFont val="Arial"/>
        <family val="2"/>
      </rPr>
      <t>2</t>
    </r>
    <r>
      <rPr>
        <sz val="8"/>
        <color theme="1"/>
        <rFont val="Arial"/>
        <family val="2"/>
      </rPr>
      <t>O</t>
    </r>
    <r>
      <rPr>
        <vertAlign val="subscript"/>
        <sz val="8"/>
        <color theme="1"/>
        <rFont val="Arial"/>
        <family val="2"/>
      </rPr>
      <t>5</t>
    </r>
    <r>
      <rPr>
        <sz val="8"/>
        <color theme="1"/>
        <rFont val="Arial"/>
        <family val="2"/>
      </rPr>
      <t xml:space="preserve"> oder K</t>
    </r>
    <r>
      <rPr>
        <vertAlign val="subscript"/>
        <sz val="8"/>
        <color theme="1"/>
        <rFont val="Arial"/>
        <family val="2"/>
      </rPr>
      <t>2</t>
    </r>
    <r>
      <rPr>
        <sz val="8"/>
        <color theme="1"/>
        <rFont val="Arial"/>
        <family val="2"/>
      </rPr>
      <t>O oder MgO/ha wird eine Düngeempfehlung von 0 kg P</t>
    </r>
    <r>
      <rPr>
        <vertAlign val="subscript"/>
        <sz val="8"/>
        <color theme="1"/>
        <rFont val="Arial"/>
        <family val="2"/>
      </rPr>
      <t>2</t>
    </r>
    <r>
      <rPr>
        <sz val="8"/>
        <color theme="1"/>
        <rFont val="Arial"/>
        <family val="2"/>
      </rPr>
      <t>O</t>
    </r>
    <r>
      <rPr>
        <vertAlign val="subscript"/>
        <sz val="8"/>
        <color theme="1"/>
        <rFont val="Arial"/>
        <family val="2"/>
      </rPr>
      <t>5</t>
    </r>
    <r>
      <rPr>
        <sz val="8"/>
        <color theme="1"/>
        <rFont val="Arial"/>
        <family val="2"/>
      </rPr>
      <t xml:space="preserve"> oder K</t>
    </r>
    <r>
      <rPr>
        <vertAlign val="subscript"/>
        <sz val="8"/>
        <color theme="1"/>
        <rFont val="Arial"/>
        <family val="2"/>
      </rPr>
      <t>2</t>
    </r>
    <r>
      <rPr>
        <sz val="8"/>
        <color theme="1"/>
        <rFont val="Arial"/>
        <family val="2"/>
      </rPr>
      <t xml:space="preserve">O oder MgO/ha ausgegeben. </t>
    </r>
  </si>
  <si>
    <t>Mindest-wirksamkeit</t>
  </si>
  <si>
    <t>Dünger, Nährstoffeinheit</t>
  </si>
  <si>
    <t>Dünger, Einheit</t>
  </si>
  <si>
    <t>Wirtschaftsdünger 3</t>
  </si>
  <si>
    <t>Wirtschaftsdünger 1</t>
  </si>
  <si>
    <t>Wirtschaftsdünger 2</t>
  </si>
  <si>
    <t>Düngemittel bzw. -menge I nicht/ungenau angegeben, es wurde pauschal mit einem Abschlag von 17 kg N/ha gerechnet.</t>
  </si>
  <si>
    <t>Düngemittel bzw. -menge II nicht/ungenau angegeben, es wurde pauschal mit einem Abschlag von 17 kg N/ha gerechnet.</t>
  </si>
  <si>
    <t>Da kein Eigenanalysewert des org. Düngers I angegeben war, wurde mit dem Tabellenwert gerechnet.</t>
  </si>
  <si>
    <t>Da kein Eigenanalysewert des org. Düngers II angegeben war, wurde mit dem Tabellenwert gerechnet.</t>
  </si>
  <si>
    <t>Düngemittel bzw. -menge I nicht/ungenau angegeben</t>
  </si>
  <si>
    <t>Düngemittel bzw. -menge II nicht/ungenau angegeben</t>
  </si>
  <si>
    <t>Gesamt-N</t>
  </si>
  <si>
    <t>TM-Anteil</t>
  </si>
  <si>
    <t>[kg/Einheit]</t>
  </si>
  <si>
    <t>[% des Gesamt-N]</t>
  </si>
  <si>
    <t>Festmist Schweine Standard</t>
  </si>
  <si>
    <t>Festmist Schweine N/P-reduziert</t>
  </si>
  <si>
    <t>Putenmist Putenhähne (Einstreu)</t>
  </si>
  <si>
    <t>Putenmist Putenhennen (Einstreu)</t>
  </si>
  <si>
    <t>Putenmist Putenhähne N/P-reduziert (Einstreu)</t>
  </si>
  <si>
    <t>Putenmist Putenhennen N/P-reduziert (Einstreu)</t>
  </si>
  <si>
    <t>Sudangras (Hauptkultur)</t>
  </si>
  <si>
    <t>Am-monium-N</t>
  </si>
  <si>
    <t>organ. Handelsdünger und andere</t>
  </si>
  <si>
    <t>keine organ./organ.-mineral. Düngung</t>
  </si>
  <si>
    <t xml:space="preserve">Haftungsansprüche jeglicher Art werden ausgeschlossen.  </t>
  </si>
  <si>
    <t xml:space="preserve">Für Richtigkeit und korrekte Funktion wird keine Gewähr übernommen. </t>
  </si>
  <si>
    <t>Extra: Grünland und mehrschnittiger Feldfutterbau sowie Obst und Reben</t>
  </si>
  <si>
    <t xml:space="preserve">In diesem Registerblatt sind alle wählbaren Düngemittel mit vielen - jedoch nicht allen- relevanten Daten enthalten. </t>
  </si>
  <si>
    <t>Außerdem dient der untere Bereich der Verrechnung von Eingaben zur Düngung.</t>
  </si>
  <si>
    <t xml:space="preserve">Kurzbeschreibung: </t>
  </si>
  <si>
    <t xml:space="preserve">In diesem Registerblatt sind alle rechenbaren Kulturen mit vielen - jedoch nicht allen- relevanten Daten (Nährstoffentzüge etc.) enthalten. </t>
  </si>
  <si>
    <t>Außerdem ist der untere Bereich die Hauptverrechnungsseite von Daten.</t>
  </si>
  <si>
    <t xml:space="preserve"> [kg/dt]</t>
  </si>
  <si>
    <t>[kg/dt]</t>
  </si>
  <si>
    <t>[dt/ha]</t>
  </si>
  <si>
    <t>Rohprotein_Diff_Tab</t>
  </si>
  <si>
    <t>[Text]</t>
  </si>
  <si>
    <t>[nummerisch]</t>
  </si>
  <si>
    <t>Pflichtfelder für N-Berechnung: Hauptfrucht, Ertragsanteil Leguminosen, 3-jähriger Ertragsdurchschnitt, 3-jähriger Durchschnitt des RP-Gehalts, org. Düngung Vorjahr, N-Nachlieferung aus Bodenvorrat).</t>
  </si>
  <si>
    <t>--- ausgeblendet ---</t>
  </si>
  <si>
    <t>der Abschlag darf max. 40 kg/ha betragen, da bei Vorfrüchten lt. Tabelle max. 40 kg/ha Abschlag möglich ist erfolgt der Abschlag nur bei den Zwischenfrüchten</t>
  </si>
  <si>
    <t>Hauptfrucht nicht/ungenau angegeben, daher keine Düngeempfehlung.</t>
  </si>
  <si>
    <t>Die berechnete N-Empfehlung wurde durch die DüV-Obergrenze gedeckelt.</t>
  </si>
  <si>
    <t>Empfehlung höher als DüV Obergrenze</t>
  </si>
  <si>
    <t>Der Zuschlag von 30 kg N/ha wird nur einmal vergeben, auch wenn sowohl der Humusgehalt kleiner als 1,5 %, als auch akuter N-Mangel vorhanden ist</t>
  </si>
  <si>
    <t>Reben, Aktuer Nmangel UND Humus &lt; 1,5%</t>
  </si>
  <si>
    <t>Ergebnis N-Bedarf-s Wert:</t>
  </si>
  <si>
    <t>Höchstdüngermenge</t>
  </si>
  <si>
    <t>Ergebnis - vorläufig</t>
  </si>
  <si>
    <t>Ergebnis -endgültig-Höchsdü.menge berücksichtigt</t>
  </si>
  <si>
    <t>Abschlag, pauschal, bei höherem Humusgehalt (&lt;er 4,0%)</t>
  </si>
  <si>
    <t>0-4,0</t>
  </si>
  <si>
    <t>&gt;4,0</t>
  </si>
  <si>
    <t>4,5% auf 4,0 einheitlich geändert, 01.03.2017, kk</t>
  </si>
  <si>
    <t>1,5 bis 4,0 %: nur wenn akuter N-mangel ausgewählt, dann 30 kg N Zuschlag, sonst Null</t>
  </si>
  <si>
    <t>über 4,0 % (oder Moor-Anmoorböden) dann Abschlag vo 20 kg N, wenn kein akuter N-mangel, sonst verrechnung = plus 10 kg N Zuschlag</t>
  </si>
  <si>
    <t>angegebener Humusgehalt (Ackerbau)</t>
  </si>
  <si>
    <t>tatsächlicher Durchschnittsertrag, bzw. fiktiver Ø-Ertrag</t>
  </si>
  <si>
    <t>kk:wenn keinerlei Angaben zum Ertrag gemacht werden wird der Tabellenwert als Ertrag genommen, ansonsten hat der 3-jährige Durchschnitt Vorrang vor einer evtl.Durchschnittsangabe; der 3-jährige Durchschnitt wird aber nur dann verrechnet wenn auch  alle 3 Jahre eine Wertangabe haben</t>
  </si>
  <si>
    <t>Besonderheiten bei Mais</t>
  </si>
  <si>
    <t>N-Nachlieferung aus Bodenvorrat</t>
  </si>
  <si>
    <t>M44 = Zwischenschritt für Fehlermeldung</t>
  </si>
  <si>
    <t>Da die Angabe der N-Nachlieferung aus dem Bodenvorrat fehlt, wurde kein Abschlag vorgenommen.</t>
  </si>
  <si>
    <t>Gemüse ohne Kohlarten</t>
  </si>
  <si>
    <t>Kohlgemüse</t>
  </si>
  <si>
    <t>P2O5-Entzug (Hauptfrucht + erntefähige Nebenfrucht)</t>
  </si>
  <si>
    <t>K2O-Entzug  (Hauptfrucht + erntefähige Nebenfrucht)</t>
  </si>
  <si>
    <t>MgO-Entzug  (Hauptfrucht + erntefähige Nebenfrucht)</t>
  </si>
  <si>
    <t>P205-Abfuhr (Hauptfrucht)</t>
  </si>
  <si>
    <t>K20-Abfuhr (Hauptfrucht)</t>
  </si>
  <si>
    <t>Mg0-Abfuhr (Hauptfrucht)</t>
  </si>
  <si>
    <t>N_Entzug (Hauptfrucht + erntefähige Nebenfrucht)</t>
  </si>
  <si>
    <t>Extra: (Dauer-)Grünland und mehrschnittiger Feldfutterbau</t>
  </si>
  <si>
    <t>Düngebedarfsberechnung (Dauer-)Grünland und mehrschnitt. Feldfutterbau</t>
  </si>
  <si>
    <t>mineralische / organ. Düngung nach Ernte der VorfruchtDüngung</t>
  </si>
  <si>
    <t>organische Düngung zur Zwischenfrucht</t>
  </si>
  <si>
    <t>Zwischenzelle mit Formel für Variabilität der evtl. Pflichtangabe zum Humusgehalt</t>
  </si>
  <si>
    <t>(Standard-Wert)</t>
  </si>
  <si>
    <t>Schalter (1=keine Eintragung)</t>
  </si>
  <si>
    <t>wenn beim Analysewert aktiv eine Null eingetragen wird, dann wird diese Null gerechnet, bei "leer" wird mit Standartwert gerechnet</t>
  </si>
  <si>
    <t>Ackerbau: N-Empfehlung
(Die Mindestdüngemenge greift nur bei Mineralböden, nicht bei Moorböden!)</t>
  </si>
  <si>
    <t>Moor-Bodenart-Nr.</t>
  </si>
  <si>
    <t>geändert, 15.,03.2017,kk</t>
  </si>
  <si>
    <t>N-Dü. -Empfehlung (brutto, ohne Begrenzungen Höchstdüngermenge, Mindestdüngermenge)</t>
  </si>
  <si>
    <t>Liegt die berechnete Düngeempfehlung &lt;0 kg N/ha wird eine Düngeempfehlung von 0 kg N/ha ausgegeben. 
Liegt die berechnete Düngeempfehlung unter der spezifischen Mindestdüngermenge wird die Mindestdüngermenge ausgewiesen.Liegt die berechnete Düngeempfehlung über der spezifischen Höchstdüngermenge wird die Höchstdüngermenge ausgewiesen.</t>
  </si>
  <si>
    <t>Einer der Werte aus N-Lieferung "Vorfrucht + Zwischenfr.+ Gründgg + Düngung nach Ernte Vorfrucht" ist größer oder gleich 40 kg, nur der höhere Wert wurde angerechnet.</t>
  </si>
  <si>
    <t>N-Lieferung aus: "Vorfrucht + Zwischenfr.+ Gründgg + Düngung nach Ernte Vorfrucht" einer der Werte &gt; 40 --&gt; nur der höhere Wert wird abgeschlagen; N-Empfehlung [Ackerbau; N-Empfehlung]</t>
  </si>
  <si>
    <t>N-Lieferung aus: "Vorfrucht + Zwischenfr.+ Gründgg + Düngung nach Ernte Vorfrucht" einer der Werte &gt; 40 --&gt; nur der höhere Wert wird abgeschlagen; N-Obergrenze [Ackerbau]</t>
  </si>
  <si>
    <t>Düngerart bzw. -menge nicht/ungenau angegeben, es wurde kein Abschlag vorgenommen (Andüngung, Mais späte Nmin).</t>
  </si>
  <si>
    <t>Späte N-Min Methode Mais, wenn Mineraldünger angegeben wurde</t>
  </si>
  <si>
    <t>P2O5-Düngebedarf bitte prüfen. Kann aufgrund unvollständiger Angaben auch niedriger liegen.</t>
  </si>
  <si>
    <r>
      <t>P</t>
    </r>
    <r>
      <rPr>
        <b/>
        <vertAlign val="subscript"/>
        <sz val="11"/>
        <color theme="1"/>
        <rFont val="Arial"/>
        <family val="2"/>
      </rPr>
      <t>2</t>
    </r>
    <r>
      <rPr>
        <b/>
        <sz val="11"/>
        <color theme="1"/>
        <rFont val="Arial"/>
        <family val="2"/>
      </rPr>
      <t>O</t>
    </r>
    <r>
      <rPr>
        <b/>
        <vertAlign val="subscript"/>
        <sz val="11"/>
        <color theme="1"/>
        <rFont val="Arial"/>
        <family val="2"/>
      </rPr>
      <t>5</t>
    </r>
    <r>
      <rPr>
        <b/>
        <sz val="11"/>
        <color theme="1"/>
        <rFont val="Arial"/>
        <family val="2"/>
      </rPr>
      <t>-Düngebedarf (DüV)</t>
    </r>
  </si>
  <si>
    <r>
      <t xml:space="preserve">fester WD [t/ha] </t>
    </r>
    <r>
      <rPr>
        <b/>
        <sz val="11"/>
        <color rgb="FFFF0000"/>
        <rFont val="Arial"/>
        <family val="2"/>
      </rPr>
      <t>*</t>
    </r>
  </si>
  <si>
    <r>
      <t xml:space="preserve">Düngung mit </t>
    </r>
    <r>
      <rPr>
        <sz val="11"/>
        <color rgb="FFFF0000"/>
        <rFont val="Arial"/>
        <family val="2"/>
      </rPr>
      <t>Kompost</t>
    </r>
    <r>
      <rPr>
        <sz val="11"/>
        <rFont val="Arial"/>
        <family val="2"/>
      </rPr>
      <t xml:space="preserve"> in 3 Vorjahren</t>
    </r>
  </si>
  <si>
    <t>Organische bzw. organisch-mineralische Düngung</t>
  </si>
  <si>
    <t>Düngung mit Kompost in 3 Vorjahren - nur N !!</t>
  </si>
  <si>
    <t>Vorjahre</t>
  </si>
  <si>
    <t>1.</t>
  </si>
  <si>
    <t>2.</t>
  </si>
  <si>
    <t>3.</t>
  </si>
  <si>
    <t>Ergebnis3</t>
  </si>
  <si>
    <t>c)organische Düngung Kompost</t>
  </si>
  <si>
    <t>keine Düngung mit Kompost</t>
  </si>
  <si>
    <t>Kompost bzw. -menge nicht/ungenau angegeben, es wurde pauschal mit einem Abschlag von 17 kg N/ha gerechnet.</t>
  </si>
  <si>
    <t>Da kein Eigenanalysewert des Komposts angegeben war, wurde mit dem Tabellenwert gerechnet.</t>
  </si>
  <si>
    <t>Ergebnis (abzgl. Kompostdüngung im Herbst)</t>
  </si>
  <si>
    <t>Kompostdüngung im Herbst abzuziehen, da ansonsten doppelt angerechnet</t>
  </si>
  <si>
    <t>(N-Gehalt * ausgebrachte Menge * [%] Anrechnung)</t>
  </si>
  <si>
    <t>Zusatz: Düngung mit Kompost, Düngemittel</t>
  </si>
  <si>
    <t xml:space="preserve">(N-Gehalt * ausgebrachte Menge  * [%] Anrechnung </t>
  </si>
  <si>
    <t>Winterweizen 12 % RP (C)</t>
  </si>
  <si>
    <t>Reserve-Zeile</t>
  </si>
  <si>
    <t>noch nicht in der Gültigkeitsliste angelegt</t>
  </si>
  <si>
    <t>Prüfung ob Anteil Leguminosen bei Grünland ausgewählt wurde, 1 = Ja = o.k.</t>
  </si>
  <si>
    <t>wenn 1 dann o.k.</t>
  </si>
  <si>
    <t>berechnete Obergrenze, wenn kleiner Null, dann Null</t>
  </si>
  <si>
    <t>Absatz 1 gilt nicht für:
1. Flächen, auf denen nur Zierpflanzen oder Weihnachtsbaumkulturen angebaut werden, Baumschul-, Rebschul-, Strauchbeeren- und Baumobstflächen, nicht im Ertrag stehende Dauerkulturflächen des Wein- oder Obstbaus sowie Flächen, die der Erzeugung schnellwüchsiger Forstgehölze zur energetischen Nutzung dienen,
2. Flächen mit ausschließlicher Weidehaltung bei einem jährlichen Stickstoffanfall (Stickstoffausscheidung) an Wirtschaftsdüngern tierischer Herkunft von bis zu 100 Kilogramm Stickstoff je Hektar, wenn keine zusätzliche Stickstoffdüngung erfolgt,
3. Betriebe, die auf keinem Schlag wesentliche Nährstoffmengen an Stickstoff oder Phosphat mit Düngemitteln, Bodenhilfsstoffen, Kultursubstraten, Pflanzenhilfsmitteln oder Abfällen zur Beseitigung nach § 28 des Kreislaufwirtschaftsgesetzes aufbringen,
4. Betriebe, die</t>
  </si>
  <si>
    <t>a) abzüglich von Flächen nach den Nummern 1 und 2 weniger als 15 Hektar landwirtschaftlich genutzte Fläche bewirtschaften,
b) höchstens bis zu zwei Hektar Gemüse, Hopfen, Wein oder Erdbeeren anbauen,
c) einen jährlichen Nährstoffanfall aus Wirtschaftsdüngern tierischer Herkunft von nicht mehr als 750 Kilogramm Stickstoff je Betrieb aufweisen und
d) keine außerhalb des Betriebes anfallenden Wirtschaftsdünger sowie organischen und organisch-mineralischen Düngemittel, bei denen es sich um Gärrückstände aus dem Betrieb einer Biogasanlage handelt, übernehmen und aufbringen.</t>
  </si>
  <si>
    <r>
      <t xml:space="preserve">"Vor dem Aufbringen von wesentlichen Nährstoffmengen </t>
    </r>
    <r>
      <rPr>
        <i/>
        <vertAlign val="superscript"/>
        <sz val="11"/>
        <color theme="1"/>
        <rFont val="Arial"/>
        <family val="2"/>
      </rPr>
      <t>[***]</t>
    </r>
    <r>
      <rPr>
        <i/>
        <sz val="11"/>
        <color theme="1"/>
        <rFont val="Arial"/>
        <family val="2"/>
      </rPr>
      <t xml:space="preserve"> an Stickstoff oder Phosphat mit Düngemitteln, Bodenhilfsstoffen, Kultursubstraten und Pflanzenhilfsmitteln hat der Betriebsinhaber den Düngebedarf der Kultur für jeden Schlag </t>
    </r>
    <r>
      <rPr>
        <i/>
        <vertAlign val="superscript"/>
        <sz val="11"/>
        <color theme="1"/>
        <rFont val="Arial"/>
        <family val="2"/>
      </rPr>
      <t>[*]</t>
    </r>
    <r>
      <rPr>
        <i/>
        <sz val="11"/>
        <color theme="1"/>
        <rFont val="Arial"/>
        <family val="2"/>
      </rPr>
      <t xml:space="preserve"> oder jede Bewirtschaftungseinheit </t>
    </r>
    <r>
      <rPr>
        <i/>
        <vertAlign val="superscript"/>
        <sz val="11"/>
        <color theme="1"/>
        <rFont val="Arial"/>
        <family val="2"/>
      </rPr>
      <t>[**]</t>
    </r>
    <r>
      <rPr>
        <i/>
        <sz val="11"/>
        <color theme="1"/>
        <rFont val="Arial"/>
        <family val="2"/>
      </rPr>
      <t xml:space="preserve"> nach den Vorgaben des § 4 zu ermitteln. Satz 1 gilt nicht für die in § 8 Absatz 6 genannten Flächen und Betriebe sowie im Falle von Phosphat für Schläge, die kleiner als ein Hektar sind. Abweichend von Satz 1 können beim Anbau von Gemüse- und Erdbeerkulturen mehrere Schläge und Bewirtschaftungseinheiten, die jeweils kleiner als 0,5 Hektar sind, für die Zwecke der Düngebedarfsermittlung im Falle von Stickstoff zusammengefasst werden, höchstens jedoch zu einer Fläche von zwei Hektar. […]."
</t>
    </r>
  </si>
  <si>
    <t>Vorsicht bei Erweiterungen !!</t>
  </si>
  <si>
    <t>Erdbeeren = 10</t>
  </si>
  <si>
    <t>Erdbeeren-Pflanzung</t>
  </si>
  <si>
    <t>Erdbeeren-Frühjahr</t>
  </si>
  <si>
    <t>Erdbeeren-nach Ernte</t>
  </si>
  <si>
    <t>Registerblatt Zwischenfrucht</t>
  </si>
  <si>
    <t>ausgewählt: (bei Obst&amp;Reben): gilt nur bei Erdbeeren</t>
  </si>
  <si>
    <t>ausgewählt:(Ackerbau)</t>
  </si>
  <si>
    <t xml:space="preserve"> = Erdbeeren</t>
  </si>
  <si>
    <r>
      <t>Zwischenfrucht</t>
    </r>
    <r>
      <rPr>
        <b/>
        <sz val="11"/>
        <color rgb="FFFF0000"/>
        <rFont val="Arial"/>
        <family val="2"/>
      </rPr>
      <t>(nur bei Erdbeeren)</t>
    </r>
  </si>
  <si>
    <t>Zwischenfrucht (nur bei Erdbeeren)</t>
  </si>
  <si>
    <t>Vlies zur</t>
  </si>
  <si>
    <t>1 = Kommentar / Überschrift ist relevant; 0 = kein Kommentar</t>
  </si>
  <si>
    <t>Anzahl Kommentare</t>
  </si>
  <si>
    <t>auslesen</t>
  </si>
  <si>
    <t xml:space="preserve">wenn Bodenart Moor oder Anmoor dann erneut auslesen </t>
  </si>
  <si>
    <t>und diesen Wert nehmen, statt d93</t>
  </si>
  <si>
    <t>ausgewählt bei Bodenarten (Nr. 6 und 7 = Moor)</t>
  </si>
  <si>
    <t>nachträglich geändert !; Ackerzahlmatrix ist jetzt ohne Moor! Kk, 1.6.2017</t>
  </si>
  <si>
    <t>Ergebnis: mit oder ggf. ohne Moorböden</t>
  </si>
  <si>
    <t>Ergebnis (nur Ackerzahl)- keine Moorböden</t>
  </si>
  <si>
    <t>Gültigkeitsbezug zur Ackerzahl nur noch Box-Nr.1 bis 3</t>
  </si>
  <si>
    <t>kultur- und standortbezogene N-Obergrenze (DüV)</t>
  </si>
  <si>
    <t xml:space="preserve">(N-Bedarfswert +/- Zu- /Abschlag zu Standardertrag) </t>
  </si>
  <si>
    <t>schwach toniger Lehm bis Ton, t'L, tL, lT, T</t>
  </si>
  <si>
    <t xml:space="preserve">Manche Kulturen - nicht alle - haben vergleichsspezifisch geregelte Höchsterträge und Höchstdüngermengen. </t>
  </si>
  <si>
    <t xml:space="preserve">Zusätzlich gilt für alle Kulturen, dass für Mineralböden im RB "Kulturen" eine Mindestdüngemenge (mind. 0 kg N/ha) </t>
  </si>
  <si>
    <t>sowie ohne Einschränkungen eine Höchstdüngemenge hinterlegt ist.</t>
  </si>
  <si>
    <r>
      <t>Unterschiedliche Vorfrüchte liefern unterschiedliche Mengen an Nährstoffen, welche düngewirksam sind. In Abhängigkeit der späten N</t>
    </r>
    <r>
      <rPr>
        <vertAlign val="subscript"/>
        <sz val="11"/>
        <color theme="1"/>
        <rFont val="Arial"/>
        <family val="2"/>
      </rPr>
      <t>min</t>
    </r>
    <r>
      <rPr>
        <sz val="11"/>
        <color theme="1"/>
        <rFont val="Arial"/>
        <family val="2"/>
      </rPr>
      <t xml:space="preserve">-Methode bei Mais und </t>
    </r>
  </si>
  <si>
    <t>der Abfuhrsituation der Erntereste für alle Kulturen ist bei der N-Düngebedarfsberechnung der Folgefrucht (= Hauptfrucht) ein Abschlag zu verrechnen.</t>
  </si>
  <si>
    <t xml:space="preserve">Zusätzlich geht die Differenz von Entzug der Gesamtpflanze und Abfuhr bzgl. der Grundnährstoffgehalte der Vorfrucht als Abschlag in die Düngebedarfsberechnung </t>
  </si>
  <si>
    <t>der Grundnährstoffe der Folgefrucht ein.</t>
  </si>
  <si>
    <t>Bei der Selektion des zu verrechnenden Wertes wird für die Berechnung des Empfehlungswertes und für die Berechnung der Obergrenze für Stickstoff unterschieden.</t>
  </si>
  <si>
    <t>Die Erfassung der Bodenart ist für die spätere Zuordnung im RB "PKMg" sowie den Rbern zur Kalkberechnung erforderlich.</t>
  </si>
  <si>
    <t>Außerdem sind die Bodenarten "Anmoor/Moor" übergeordnet heranzuziehen, wenn der Abschlagswert i.A. der Ackerzahl ausgelesen wird.</t>
  </si>
  <si>
    <t>der Düngung im Herbst (nach Ernte der Vorfrucht) für alle Kulturen ist bei der N-Düngebedarfsberechnung der Folgefrucht (= Hauptfrucht) ein Abschlag zu verrechnen.</t>
  </si>
  <si>
    <r>
      <t>Unterschiedliche Zwischenfrüchte liefern unterschiedliche Mengen an Nährstoffen, welche düngewirksam sind. In Abhängigkeit der späten N</t>
    </r>
    <r>
      <rPr>
        <vertAlign val="subscript"/>
        <sz val="11"/>
        <color theme="1"/>
        <rFont val="Arial"/>
        <family val="2"/>
      </rPr>
      <t>min</t>
    </r>
    <r>
      <rPr>
        <sz val="11"/>
        <color theme="1"/>
        <rFont val="Arial"/>
        <family val="2"/>
      </rPr>
      <t xml:space="preserve">-Methode bei Mais und </t>
    </r>
  </si>
  <si>
    <t xml:space="preserve">In Abhängigkeit der Hauptfrucht ist die Stickstoffnachlieferung des Bodens mit einem Abschlag </t>
  </si>
  <si>
    <t>bei der Berechnung der Düngeempfehlung für Stickstoff zu berücksichtigen.</t>
  </si>
  <si>
    <t>ab Nr. 3 = Moor; in "Humus" für Ackerbau relevant</t>
  </si>
  <si>
    <t>Zwischenfrucht, Abschlag alt</t>
  </si>
  <si>
    <t>Zwischenfrucht, Abschlag neu</t>
  </si>
  <si>
    <t>Boden Schwere</t>
  </si>
  <si>
    <t>Bodenart Symbol</t>
  </si>
  <si>
    <r>
      <t>alte Formel</t>
    </r>
    <r>
      <rPr>
        <sz val="11"/>
        <color rgb="FFFF0000"/>
        <rFont val="Arial"/>
        <family val="2"/>
      </rPr>
      <t xml:space="preserve"> =WENN(D64&gt;D55;D55;WENN(D64&lt;D55;</t>
    </r>
    <r>
      <rPr>
        <sz val="11"/>
        <color theme="1"/>
        <rFont val="Arial"/>
        <family val="2"/>
      </rPr>
      <t>WENN(D64&lt;D58;</t>
    </r>
    <r>
      <rPr>
        <sz val="11"/>
        <color rgb="FFFF0000"/>
        <rFont val="Arial"/>
        <family val="2"/>
      </rPr>
      <t>WENN(D64&lt;D61</t>
    </r>
    <r>
      <rPr>
        <sz val="11"/>
        <color theme="1"/>
        <rFont val="Arial"/>
        <family val="2"/>
      </rPr>
      <t>;</t>
    </r>
    <r>
      <rPr>
        <sz val="11"/>
        <color theme="3"/>
        <rFont val="Arial"/>
        <family val="2"/>
      </rPr>
      <t>WENN(D64&lt;D62;D62</t>
    </r>
    <r>
      <rPr>
        <sz val="11"/>
        <color theme="1"/>
        <rFont val="Arial"/>
        <family val="2"/>
      </rPr>
      <t>;D61);D58);D64)))</t>
    </r>
  </si>
  <si>
    <t>K2O-Lieferung
Entzug minus Abfuhr</t>
  </si>
  <si>
    <r>
      <t xml:space="preserve">(nur bei </t>
    </r>
    <r>
      <rPr>
        <u/>
        <sz val="11"/>
        <color theme="1"/>
        <rFont val="Arial"/>
        <family val="2"/>
      </rPr>
      <t>Planfruch</t>
    </r>
    <r>
      <rPr>
        <sz val="11"/>
        <color theme="1"/>
        <rFont val="Arial"/>
        <family val="2"/>
      </rPr>
      <t>t-Mais relevant)</t>
    </r>
  </si>
  <si>
    <t xml:space="preserve">In Abhängigkeit des Anteils an organischer Substanz von Grünlandböden ist bei der Berechnung der Obergrenze </t>
  </si>
  <si>
    <t>für die Stickstoffdüngung von Grünlandböden ein Abschlag vorzunehmen.</t>
  </si>
  <si>
    <t>Ermittlung des Verrechnungswertes zur Bodennachlieferung an Stickstoff für Ackerbaukulturen (ohne Mais)</t>
  </si>
  <si>
    <t xml:space="preserve">Unter Berücksichtigung des Leguminosenanteils und der Zuordnung der Hauptfrucht zu Grünland oder Feldfutterbau </t>
  </si>
  <si>
    <t>wird aufgrund der damit verbundenen Stickstofflieferung ein Abschlag ausgelesen.</t>
  </si>
  <si>
    <r>
      <t>P</t>
    </r>
    <r>
      <rPr>
        <vertAlign val="subscript"/>
        <sz val="11"/>
        <color theme="1"/>
        <rFont val="Arial"/>
        <family val="2"/>
      </rPr>
      <t>2</t>
    </r>
    <r>
      <rPr>
        <sz val="11"/>
        <color theme="1"/>
        <rFont val="Arial"/>
        <family val="2"/>
      </rPr>
      <t>O</t>
    </r>
    <r>
      <rPr>
        <vertAlign val="subscript"/>
        <sz val="11"/>
        <color theme="1"/>
        <rFont val="Arial"/>
        <family val="2"/>
      </rPr>
      <t>5</t>
    </r>
  </si>
  <si>
    <r>
      <t>K</t>
    </r>
    <r>
      <rPr>
        <vertAlign val="subscript"/>
        <sz val="11"/>
        <color theme="1"/>
        <rFont val="Arial"/>
        <family val="2"/>
      </rPr>
      <t>2</t>
    </r>
    <r>
      <rPr>
        <sz val="11"/>
        <color theme="1"/>
        <rFont val="Arial"/>
        <family val="2"/>
      </rPr>
      <t>O</t>
    </r>
  </si>
  <si>
    <t>N-Nachlieferungs-faktor
Vorjahr</t>
  </si>
  <si>
    <t>Grünland Bodenart</t>
  </si>
  <si>
    <t>Humusgehalt Zu-/Abschlag</t>
  </si>
  <si>
    <t xml:space="preserve">Unter Berücksichtigung der Kulturgruppe der Hauptfrucht ist bei der Berechnung der Obergrenze zur Stickstoffdüngung aufgrund </t>
  </si>
  <si>
    <t>der Überschreitung festgelegter Schwellenwerte ein Abschlag bzw. i.F. von Reben teilweise auch ein Zuschlag vorzunehmen.</t>
  </si>
  <si>
    <t>Ermittlung der Bodengehaltsklassen der Grundnährstoffe und entsprechender Zu-/Abschläge</t>
  </si>
  <si>
    <r>
      <t>pH -CaCl</t>
    </r>
    <r>
      <rPr>
        <vertAlign val="subscript"/>
        <sz val="11"/>
        <rFont val="Arial"/>
        <family val="2"/>
      </rPr>
      <t>2</t>
    </r>
    <r>
      <rPr>
        <sz val="11"/>
        <color theme="1"/>
        <rFont val="Arial"/>
        <family val="2"/>
      </rPr>
      <t xml:space="preserve">-Werte und jeweils zugehörige Kalkmengen in </t>
    </r>
    <r>
      <rPr>
        <sz val="11"/>
        <color indexed="12"/>
        <rFont val="Arial"/>
        <family val="2"/>
      </rPr>
      <t>dt / CaO/ha</t>
    </r>
    <r>
      <rPr>
        <vertAlign val="superscript"/>
        <sz val="11"/>
        <color indexed="10"/>
        <rFont val="Arial"/>
        <family val="2"/>
      </rPr>
      <t>1</t>
    </r>
    <r>
      <rPr>
        <vertAlign val="superscript"/>
        <sz val="11"/>
        <rFont val="Arial"/>
        <family val="2"/>
      </rPr>
      <t>)</t>
    </r>
    <r>
      <rPr>
        <sz val="11"/>
        <color theme="1"/>
        <rFont val="Arial"/>
        <family val="2"/>
      </rPr>
      <t xml:space="preserve"> zur</t>
    </r>
  </si>
  <si>
    <r>
      <t>1)</t>
    </r>
    <r>
      <rPr>
        <sz val="8"/>
        <rFont val="Arial"/>
        <family val="2"/>
      </rPr>
      <t xml:space="preserve"> errechnet mittels biostatischer Verfahren aus Ergebnissen von Kalkdüngungsdauerversuchen.</t>
    </r>
  </si>
  <si>
    <t>Grünland: Tableau zum Kaldüngebedarf von in Abhängigkeit verschiedener Faktoren</t>
  </si>
  <si>
    <r>
      <t xml:space="preserve">Kalkdüngungsbedarf von Grünlandböden </t>
    </r>
    <r>
      <rPr>
        <sz val="11"/>
        <color indexed="10"/>
        <rFont val="Arial"/>
        <family val="2"/>
      </rPr>
      <t>bis 15 % Humus:</t>
    </r>
    <r>
      <rPr>
        <sz val="11"/>
        <rFont val="Arial"/>
        <family val="2"/>
      </rPr>
      <t xml:space="preserve"> pH-Ca-Cl2-Werte und jeweils zugehörende Kalkmengen in </t>
    </r>
    <r>
      <rPr>
        <sz val="11"/>
        <color indexed="12"/>
        <rFont val="Arial"/>
        <family val="2"/>
      </rPr>
      <t>dt CaO / ha</t>
    </r>
  </si>
  <si>
    <t>Bodenuntersuchung (empfohlen alle 4 bis 6 Jahre). Quelle: Tabelle 3, LUFA-Augustenberg-Schreiben vom 5.1.2005.</t>
  </si>
  <si>
    <t>Werte für Praxisempfehlungen runden. Quelle: entspricht Tabelle 2  VDLUFA-Standpunkt vom 19.09.2000.</t>
  </si>
  <si>
    <t>Bodenuntersuchung (empfohlen alle 4 bis 6 Jahre).</t>
  </si>
  <si>
    <r>
      <t>Bodenartgruppe</t>
    </r>
    <r>
      <rPr>
        <sz val="10"/>
        <rFont val="Arial"/>
        <family val="2"/>
      </rPr>
      <t xml:space="preserve"> </t>
    </r>
    <r>
      <rPr>
        <sz val="10"/>
        <color indexed="10"/>
        <rFont val="Arial"/>
        <family val="2"/>
      </rPr>
      <t>(gilt nur für Grünlandböden unter 15% Humus (Humusklasse 1,2,3))</t>
    </r>
  </si>
  <si>
    <r>
      <t>Kalkdüngungsbedarf von Grünlandböden mit Humusgehalten zwischen</t>
    </r>
    <r>
      <rPr>
        <sz val="10"/>
        <color indexed="10"/>
        <rFont val="Arial"/>
        <family val="2"/>
      </rPr>
      <t xml:space="preserve"> 15 und 100 % (Humusklasse 4 und 5):</t>
    </r>
    <r>
      <rPr>
        <sz val="10"/>
        <color indexed="12"/>
        <rFont val="Arial"/>
        <family val="2"/>
      </rPr>
      <t xml:space="preserve"> keine Kalkung</t>
    </r>
  </si>
  <si>
    <r>
      <t>Kommentare: Ackerbau -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K</t>
    </r>
    <r>
      <rPr>
        <vertAlign val="subscript"/>
        <sz val="11"/>
        <color theme="1"/>
        <rFont val="Arial"/>
        <family val="2"/>
      </rPr>
      <t>2</t>
    </r>
    <r>
      <rPr>
        <sz val="11"/>
        <color theme="1"/>
        <rFont val="Arial"/>
        <family val="2"/>
      </rPr>
      <t>O, MgO -</t>
    </r>
  </si>
  <si>
    <r>
      <t>Kommentare: Grünland, mehrschnittiger Feldfutterbau -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K</t>
    </r>
    <r>
      <rPr>
        <vertAlign val="subscript"/>
        <sz val="11"/>
        <color theme="1"/>
        <rFont val="Arial"/>
        <family val="2"/>
      </rPr>
      <t>2</t>
    </r>
    <r>
      <rPr>
        <sz val="11"/>
        <color theme="1"/>
        <rFont val="Arial"/>
        <family val="2"/>
      </rPr>
      <t>O, MgO -</t>
    </r>
  </si>
  <si>
    <r>
      <t>Aufgrund unvollständiger Angaben war keine Düngebedarfsberechnung für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xml:space="preserve"> möglich.</t>
    </r>
  </si>
  <si>
    <r>
      <t>Kommentare: Obst, Reben -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K</t>
    </r>
    <r>
      <rPr>
        <vertAlign val="subscript"/>
        <sz val="11"/>
        <color theme="1"/>
        <rFont val="Arial"/>
        <family val="2"/>
      </rPr>
      <t>2</t>
    </r>
    <r>
      <rPr>
        <sz val="11"/>
        <color theme="1"/>
        <rFont val="Arial"/>
        <family val="2"/>
      </rPr>
      <t>O, MgO -</t>
    </r>
  </si>
  <si>
    <t>Festmist Ziegen</t>
  </si>
  <si>
    <t>Jauche Schweine Standard</t>
  </si>
  <si>
    <t>Biogasanlagengärrückstand flüssig</t>
  </si>
  <si>
    <t>Biogasanlagengärrückstand fest</t>
  </si>
  <si>
    <t>Gülle Jungvieh Grünland, 7,5 % TS</t>
  </si>
  <si>
    <t>Gülle Jungvieh Grünland, 10 % TS</t>
  </si>
  <si>
    <t>Gülle Jungvieh Ackerland, 7,5 % TS</t>
  </si>
  <si>
    <t>Gülle Jungvieh Ackerland, 10 % TS</t>
  </si>
  <si>
    <t>Gülle Milchvieh Grünland, 7,5 % TS</t>
  </si>
  <si>
    <t>Gülle Milchvieh Grünland, 10 % TS</t>
  </si>
  <si>
    <t>Gülle Milchvieh Ackerland, 7,5 % TS</t>
  </si>
  <si>
    <t>Gülle Milchvieh Ackerland, 10 % TS</t>
  </si>
  <si>
    <t>Gülle Bullenmast, 7,5 % TS</t>
  </si>
  <si>
    <t>Gülle Bullenmast, 10 % TS</t>
  </si>
  <si>
    <t>Gülle Schweinemast Standard, 5 % TS</t>
  </si>
  <si>
    <t>Gülle Schweinemast Standard, 7,5 % TS</t>
  </si>
  <si>
    <t>Gülle Schweinemast N/P-reduziert, 5 % TS</t>
  </si>
  <si>
    <t>Gülle Schweinemast N/P-reduziert, 7,5 % TS</t>
  </si>
  <si>
    <t>Gülle Schweinezucht Standard, 5 % TS</t>
  </si>
  <si>
    <t>Gülle Schweinezucht Standard, 7,5 % TS</t>
  </si>
  <si>
    <t>Gülle Schweinezucht N/P-reduziert, 5 % TS</t>
  </si>
  <si>
    <t>Gülle Schweinezucht N/P-reduziert, 7,5 % TS</t>
  </si>
  <si>
    <t>GA 2017 Nutzungscode</t>
  </si>
  <si>
    <t>GA 2017 Kulturbezeichnung</t>
  </si>
  <si>
    <t>Winterweichweizen</t>
  </si>
  <si>
    <t>Sommerweichweizen</t>
  </si>
  <si>
    <t>Wintergerste</t>
  </si>
  <si>
    <t>Sommergerste</t>
  </si>
  <si>
    <t>Winterroggen</t>
  </si>
  <si>
    <t>Sommerroggen</t>
  </si>
  <si>
    <t>142/143</t>
  </si>
  <si>
    <t>Wintertriticale</t>
  </si>
  <si>
    <t>Winter-Dinkel</t>
  </si>
  <si>
    <t>Winterhafer/Sommerhafer</t>
  </si>
  <si>
    <t>112/113</t>
  </si>
  <si>
    <t>Durum/Winterhartweizen/Durum/Sommerhartweizen</t>
  </si>
  <si>
    <t>Erbsen/Bohnen-Gemenge/Körnerleguminosen-Gemenge</t>
  </si>
  <si>
    <t>240/250</t>
  </si>
  <si>
    <t>Sonstige Ölfrüchte</t>
  </si>
  <si>
    <t>Sonnenblumen</t>
  </si>
  <si>
    <t>Lein (Gemeiner Lein, Flachs)</t>
  </si>
  <si>
    <t>Winterrübsen (Rübsen, Rübsamen, Rübsaat)</t>
  </si>
  <si>
    <t>Sommerrübsen (Rübsen, Rübsamen, Rübsaat)</t>
  </si>
  <si>
    <t>Ackerbohne/Puffbohne/Pferdebohne/Dicke Bohne</t>
  </si>
  <si>
    <t>Erbsen zur Körnergewinnung</t>
  </si>
  <si>
    <t>Lupinen</t>
  </si>
  <si>
    <t>Wicken (Pannonische, Zottel-, Saatwicke)</t>
  </si>
  <si>
    <t>Körnermais/CCM</t>
  </si>
  <si>
    <t>Silomais</t>
  </si>
  <si>
    <t>601/602</t>
  </si>
  <si>
    <t>Stärkekartoffeln/Speisekartoffeln</t>
  </si>
  <si>
    <t>Futterrüben (Runkelrüben)</t>
  </si>
  <si>
    <t>Mais (Biogas)</t>
  </si>
  <si>
    <t>Sudangras</t>
  </si>
  <si>
    <t>181/183/184</t>
  </si>
  <si>
    <t>Rispenhirse/Sorghumhirse (Körnersorghum)/Kolbenhirse</t>
  </si>
  <si>
    <t>121/122</t>
  </si>
  <si>
    <t>Winterroggen/Sommerroggen</t>
  </si>
  <si>
    <t>856/859</t>
  </si>
  <si>
    <t>Hopfen/Hopfen, vorübergehend stillgelegt</t>
  </si>
  <si>
    <t>Hanf</t>
  </si>
  <si>
    <t>Chinaschilf (Miscanthus)</t>
  </si>
  <si>
    <t>Phacelia (als Hauptkultur, z.B. Saatgutvermehrung)</t>
  </si>
  <si>
    <t>Tabak</t>
  </si>
  <si>
    <t>Kernobst- und Steinobst</t>
  </si>
  <si>
    <t>Beerenobst (z.B. Johannis-, Stachel-, Himbeeren)</t>
  </si>
  <si>
    <t>Bestockte Rebfläche</t>
  </si>
  <si>
    <t>Ackergras</t>
  </si>
  <si>
    <t>Mähweiden</t>
  </si>
  <si>
    <t>Wiesen (einschließlich Streuobstwiesen)</t>
  </si>
  <si>
    <t>422/425</t>
  </si>
  <si>
    <t>Kleegras, Luzerne-Gras-Gemenge/Klee-Luzerne-Gemisch</t>
  </si>
  <si>
    <t>Rot-/Weiß-/Alexandriner-/Inkarnat-Erd-/Schweden-/Persischer Klee/Luzerne, Hopfen-/Gelbklee, Bastard-/Sandluzerne</t>
  </si>
  <si>
    <t>421/423</t>
  </si>
  <si>
    <t>Bioabfallkomposte</t>
  </si>
  <si>
    <t>Ergebnis: Abschlag Vorfrucht ggf. korrigiert auf max. 40 kg</t>
  </si>
  <si>
    <t>BODENARTGRUPPE 7: Mo - Hochmoor und sauere Niedermoore, Humusgehalt &gt; 30 %</t>
  </si>
  <si>
    <r>
      <t xml:space="preserve">BODENARTGRUPPE 6: Anmoor, </t>
    </r>
    <r>
      <rPr>
        <sz val="10"/>
        <color rgb="FFFF0000"/>
        <rFont val="Arial"/>
        <family val="2"/>
      </rPr>
      <t>Humusgehalt &gt; 30 %</t>
    </r>
  </si>
  <si>
    <t>ausgewählt im Eingabeblatt: (Grünland)</t>
  </si>
  <si>
    <t>ausgewählt im Eingabeblatt: (Obst&amp;Reben)</t>
  </si>
  <si>
    <t>Ergebnisauslese bei Bodenart Anmoor und Moor</t>
  </si>
  <si>
    <t>(Anmoor = Nr. 6, Moor = Nr. 7)</t>
  </si>
  <si>
    <t>Moorbodenindex</t>
  </si>
  <si>
    <t>ausgewählte Bodenart: Nr.</t>
  </si>
  <si>
    <t>daraus Indexzahl: nur für Moorböden)</t>
  </si>
  <si>
    <t>ausgewählte Bodenart (Text)</t>
  </si>
  <si>
    <t xml:space="preserve">Einer der Werte aus N-Lieferung "Vorfrucht + Zwischenfrucht" ist größer oder gleich 40 kg, nur der höhere Wert wurde angerechnet. </t>
  </si>
  <si>
    <t>Eigenanalyse [kg N/m³, t]</t>
  </si>
  <si>
    <t>Eigenanalyse [kg N/t]</t>
  </si>
  <si>
    <t>N-Bedarf [kg N/ha] (Empfehlung)</t>
  </si>
  <si>
    <t>N-Sollwert [kg N/ha] (Obergrenze n. DüV)</t>
  </si>
  <si>
    <r>
      <t>verfügbare N-Menge im Boden</t>
    </r>
    <r>
      <rPr>
        <sz val="8"/>
        <color theme="1"/>
        <rFont val="Arial"/>
        <family val="2"/>
      </rPr>
      <t xml:space="preserve"> (N</t>
    </r>
    <r>
      <rPr>
        <vertAlign val="subscript"/>
        <sz val="8"/>
        <color theme="1"/>
        <rFont val="Arial"/>
        <family val="2"/>
      </rPr>
      <t xml:space="preserve">min, </t>
    </r>
    <r>
      <rPr>
        <sz val="8"/>
        <color theme="1"/>
        <rFont val="Arial"/>
        <family val="2"/>
      </rPr>
      <t xml:space="preserve">Nitrat-N) </t>
    </r>
  </si>
  <si>
    <r>
      <t>verfügbare N-Menge im Boden (N</t>
    </r>
    <r>
      <rPr>
        <vertAlign val="subscript"/>
        <sz val="11"/>
        <color theme="1"/>
        <rFont val="Arial"/>
        <family val="2"/>
      </rPr>
      <t xml:space="preserve">min, </t>
    </r>
    <r>
      <rPr>
        <sz val="11"/>
        <color theme="1"/>
        <rFont val="Arial"/>
        <family val="2"/>
      </rPr>
      <t xml:space="preserve">Nitrat-N) </t>
    </r>
  </si>
  <si>
    <r>
      <t>Mais späte N</t>
    </r>
    <r>
      <rPr>
        <sz val="8"/>
        <color theme="1"/>
        <rFont val="Arial"/>
        <family val="2"/>
      </rPr>
      <t>min</t>
    </r>
  </si>
  <si>
    <t xml:space="preserve">N-Sollwert [kg N/ha]                                                                 </t>
  </si>
  <si>
    <r>
      <t xml:space="preserve">N-Sollwert </t>
    </r>
    <r>
      <rPr>
        <sz val="8"/>
        <color theme="1"/>
        <rFont val="Arial"/>
        <family val="2"/>
      </rPr>
      <t>(nach Ertragskorrektur)</t>
    </r>
    <r>
      <rPr>
        <sz val="11"/>
        <color theme="1"/>
        <rFont val="Arial"/>
        <family val="2"/>
      </rPr>
      <t xml:space="preserve"> [kg N/ha]</t>
    </r>
  </si>
  <si>
    <t>N-Sollwert [kg N/ha]</t>
  </si>
  <si>
    <r>
      <t xml:space="preserve">verfügbare N-Menge im Boden </t>
    </r>
    <r>
      <rPr>
        <sz val="8"/>
        <color theme="1"/>
        <rFont val="Arial"/>
        <family val="2"/>
      </rPr>
      <t>(N</t>
    </r>
    <r>
      <rPr>
        <vertAlign val="subscript"/>
        <sz val="8"/>
        <color theme="1"/>
        <rFont val="Arial"/>
        <family val="2"/>
      </rPr>
      <t xml:space="preserve">min, </t>
    </r>
    <r>
      <rPr>
        <sz val="8"/>
        <color theme="1"/>
        <rFont val="Arial"/>
        <family val="2"/>
      </rPr>
      <t>Nitrat-N)</t>
    </r>
  </si>
  <si>
    <t>Der Zuschlag aufgrund eines höheren Ertragsniveaus ist auf 40 kg N/ha begrenzt.</t>
  </si>
  <si>
    <t>Ackerbau (neue Rechnung), (Zuschlag aufgrund höherem Ertragsniveau 
&gt; 40 kg N/ha)</t>
  </si>
  <si>
    <t>bei Reben</t>
  </si>
  <si>
    <t>in jeder zweiten Gasse</t>
  </si>
  <si>
    <t>bei Erdbeeren</t>
  </si>
  <si>
    <t>Da kein Eigenanalysewert des org. Düngers (Andüngung/Mais späte Nmin) angegeben war, wurde mit dem Tabellenwert gerechnet.</t>
  </si>
  <si>
    <t>bis</t>
  </si>
  <si>
    <t>100%</t>
  </si>
  <si>
    <r>
      <t>wenn Bodengehaltswert von P</t>
    </r>
    <r>
      <rPr>
        <vertAlign val="subscript"/>
        <sz val="8"/>
        <color theme="1"/>
        <rFont val="Arial"/>
        <family val="2"/>
      </rPr>
      <t>2</t>
    </r>
    <r>
      <rPr>
        <sz val="8"/>
        <color theme="1"/>
        <rFont val="Arial"/>
        <family val="2"/>
      </rPr>
      <t>O</t>
    </r>
    <r>
      <rPr>
        <vertAlign val="subscript"/>
        <sz val="8"/>
        <color theme="1"/>
        <rFont val="Arial"/>
        <family val="2"/>
      </rPr>
      <t>5</t>
    </r>
    <r>
      <rPr>
        <sz val="8"/>
        <color theme="1"/>
        <rFont val="Arial"/>
        <family val="2"/>
      </rPr>
      <t xml:space="preserve"> angegeben ist</t>
    </r>
  </si>
  <si>
    <t>"Der nach Absatz 2 Satz 1 ermittelte Düngebedarf darf im Rahmen der geplanten Düngungsmaßnahme nicht überschritten werden. Teilgaben sind zulässig. Abweichend von Satz 1 sind Überschreitungen des nach Satz 1 ermittelten Düngebedarfs beim Aufbringen von Düngemitteln, Bodenhilfsstoffen, Kultursubstraten und Pflanzenhilfsmitteln nur zulässig, soweit auf Grund nachträglich eintretender Umstände, insbesondere Bestandsentwicklung oder Witterungsereignisse, ein höherer Düngebedarf besteht. Im Falle des Satzes 3 hat der Betriebsinhaber vor dem Aufbringen der dort genannten Stoffe                                                                                                                                      1. den Düngebedarf der Kultur für jeden Schlag oder jede Bewirtschaftungseinheit unter Beachtung der Vorgaben des § 4 und                                                                                                                                                                                        
2. nach Maßgabe der nach Landesrecht zuständigen Stelle erneut zu ermitteln.                                                                                                                                                                                                                                                                          Im Falle des Satzes 4 gelten Satz 1 und Absatz 2 Satz 2 bis 4 entsprechend."</t>
  </si>
  <si>
    <t>Die Düngebedarfsermittlung für Stickstoff, die Grundnährstoffe: Phosphat, Kaliumoxid und Magnesiumoxid sowie für Kalk erfolgt nach derselben Struktur:</t>
  </si>
  <si>
    <r>
      <t>verfügbare N-Menge im Boden (N</t>
    </r>
    <r>
      <rPr>
        <b/>
        <vertAlign val="subscript"/>
        <sz val="11"/>
        <color theme="1"/>
        <rFont val="Arial"/>
        <family val="2"/>
      </rPr>
      <t xml:space="preserve">min, </t>
    </r>
    <r>
      <rPr>
        <b/>
        <sz val="11"/>
        <color theme="1"/>
        <rFont val="Arial"/>
        <family val="2"/>
      </rPr>
      <t>Nitrat-N)</t>
    </r>
  </si>
  <si>
    <r>
      <t xml:space="preserve">Für die Berechnung der </t>
    </r>
    <r>
      <rPr>
        <b/>
        <sz val="11"/>
        <color theme="1"/>
        <rFont val="Arial"/>
        <family val="2"/>
      </rPr>
      <t>N-Obergrenze</t>
    </r>
    <r>
      <rPr>
        <sz val="11"/>
        <color theme="1"/>
        <rFont val="Arial"/>
        <family val="2"/>
      </rPr>
      <t xml:space="preserve"> nach DüV gilt:      
Der Abschlag aufgrund der N-Lieferung der Vorfrucht und der Zwischenfrucht ist auf 40 kg N/ha begrenzt, wenn die Summe der Abschläge größer/gleich 40 kg N/ha ist. Auch hier wird in der Ergebnisansicht der Abschlag aufgrund der Eingaben zum Zwischenfruchtanbau begrenzt. Ebenfalls gilt, dass wenn einer der Werte größer/gleich 40 kg N/ha ist, lediglich der größere der beiden Abschlagswerte verrechnet wird.</t>
    </r>
  </si>
  <si>
    <r>
      <t xml:space="preserve">Wenn zwei oder mehr Eingaben in </t>
    </r>
    <r>
      <rPr>
        <b/>
        <sz val="11"/>
        <color theme="1"/>
        <rFont val="Arial"/>
        <family val="2"/>
      </rPr>
      <t>Pflichtfeldern</t>
    </r>
    <r>
      <rPr>
        <sz val="11"/>
        <color theme="1"/>
        <rFont val="Arial"/>
        <family val="2"/>
      </rPr>
      <t xml:space="preserve"> für die N-Berechnung (Hauptfrucht, 3-jähriger Ertragsdurchschnitt, Nitrat-N-/N</t>
    </r>
    <r>
      <rPr>
        <vertAlign val="subscript"/>
        <sz val="11"/>
        <color theme="1"/>
        <rFont val="Arial"/>
        <family val="2"/>
      </rPr>
      <t>min</t>
    </r>
    <r>
      <rPr>
        <sz val="11"/>
        <color theme="1"/>
        <rFont val="Arial"/>
        <family val="2"/>
      </rPr>
      <t xml:space="preserve">-Wert, Vorfrucht, Zwischenfrucht, org. Düngung Vorjahr, Humusgehalt) fehlen, wird nicht berechnet.       
Fehlt eine Eingabe in einem </t>
    </r>
    <r>
      <rPr>
        <b/>
        <sz val="11"/>
        <color theme="1"/>
        <rFont val="Arial"/>
        <family val="2"/>
      </rPr>
      <t>Pflichtfeld</t>
    </r>
    <r>
      <rPr>
        <sz val="11"/>
        <color theme="1"/>
        <rFont val="Arial"/>
        <family val="2"/>
      </rPr>
      <t xml:space="preserve"> für die N-Berechnung (Hauptfrucht, 3-jähriger Ertragsdurchschnitt, Nitrat-N-/Nmin-Wert, Vorfrucht, Zwischenfrucht, org. Düngung Vorjahr, Humusgehalt) wird ein Düngebedarf für Stickstoff berechnet. Allerdings gilt das Ergebnis nicht als eine Aufzeichnung gemäß DüV.
</t>
    </r>
  </si>
  <si>
    <t>Pflichtfelder für die N-Berechnung: Hauptfrucht, 3-jähriger Ertragsdurchschnitt,  Nitrat-N-/Nmin-Wert, org. Düngung Vorjahr, Humusgehalt sowie bei Erdbeeren Vorfrucht und Zwischenfrucht</t>
  </si>
  <si>
    <r>
      <t>Zusätzliche Pflichtfelder für die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-Berechnung: Bodengehaltswert und Bodenart.</t>
    </r>
  </si>
  <si>
    <r>
      <t>Zusätzliche Pflichtfelder für die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-Berechnung: Bodengehaltswert.</t>
    </r>
  </si>
  <si>
    <r>
      <t xml:space="preserve">Abfuhr inklusive Erntereste (Stroh/Blatt/Kraut) </t>
    </r>
    <r>
      <rPr>
        <sz val="11"/>
        <color rgb="FFFF0000"/>
        <rFont val="Arial"/>
        <family val="2"/>
      </rPr>
      <t>***</t>
    </r>
  </si>
  <si>
    <t>Erntereste HF</t>
  </si>
  <si>
    <t>Erntereste der Vorfrucht abgefahren</t>
  </si>
  <si>
    <r>
      <t>P</t>
    </r>
    <r>
      <rPr>
        <b/>
        <vertAlign val="subscript"/>
        <sz val="11"/>
        <color theme="1"/>
        <rFont val="Arial"/>
        <family val="2"/>
      </rPr>
      <t>2</t>
    </r>
    <r>
      <rPr>
        <b/>
        <sz val="11"/>
        <color theme="1"/>
        <rFont val="Arial"/>
        <family val="2"/>
      </rPr>
      <t>O</t>
    </r>
    <r>
      <rPr>
        <b/>
        <vertAlign val="subscript"/>
        <sz val="11"/>
        <color theme="1"/>
        <rFont val="Arial"/>
        <family val="2"/>
      </rPr>
      <t>5</t>
    </r>
    <r>
      <rPr>
        <b/>
        <sz val="11"/>
        <color theme="1"/>
        <rFont val="Arial"/>
        <family val="2"/>
      </rPr>
      <t xml:space="preserve">-Düngebedarf (DüV) </t>
    </r>
  </si>
  <si>
    <t>Dropdown</t>
  </si>
  <si>
    <t>Erntereste Haupfrucht abgefahren</t>
  </si>
  <si>
    <t>Entzugswert</t>
  </si>
  <si>
    <t>gemäß Eingabe Hauptfrucht mit/ohne erntefähige Nebenfrucht</t>
  </si>
  <si>
    <t>Abfuhr</t>
  </si>
  <si>
    <t>a. mineralisch (geplant)</t>
  </si>
  <si>
    <t xml:space="preserve">geplante Düngung: </t>
  </si>
  <si>
    <t>b. organisch (geplant)</t>
  </si>
  <si>
    <t>b. bei Bodengehaltsklasse D, E Düngung der Abfuhr, ansonsten a. = b.</t>
  </si>
  <si>
    <t>2 Pflichtfelder (Hauptfrucht, 3-jähriges Ertragsmittel, Abfuhrsituation, Bodengehaltswert, Bodenart) nicht ausgefüllt, es wird nicht berechnet nur Kommentare werden ausgegeben!</t>
  </si>
  <si>
    <t>1 Pflichtfeld (Hauptfrucht, 3-jähriges Ertragsmittel, Abfuhrsituation, Bodengehaltswert, Bodenart) nicht ausgefüllt, es wird berechnet aber "Dies ist ein Nachweis nach DüV" nicht angezeigt</t>
  </si>
  <si>
    <t>Horndünger</t>
  </si>
  <si>
    <t>Haarmehl</t>
  </si>
  <si>
    <t>Ackerbohnen (Korn)</t>
  </si>
  <si>
    <t>Erbsen (Korn)</t>
  </si>
  <si>
    <t>Lupinen (Korn)</t>
  </si>
  <si>
    <t>Rapsexktraktionsschrot</t>
  </si>
  <si>
    <t>Vinasse Zuckerrüben</t>
  </si>
  <si>
    <t>nachträglich entfernt - keine weitere Berücksichtigung innerhalb der Berechnung.</t>
  </si>
  <si>
    <t>GRÜNLAND - BERECHNUNG</t>
  </si>
  <si>
    <t>ACKERBAU - BERECHNUNG - alt (N-Düngeempfehlung)</t>
  </si>
  <si>
    <t>REBEN, OBST, ERDBEEREN - BERECHNUNG</t>
  </si>
  <si>
    <t>Abfuhr inklusive Erntereste (Stroh/Blatt/Kraut) ***</t>
  </si>
  <si>
    <t>Starke Wüchsigkeit/Umbruch Begrünung/</t>
  </si>
  <si>
    <r>
      <t xml:space="preserve">Empfehlung </t>
    </r>
    <r>
      <rPr>
        <b/>
        <sz val="11"/>
        <color rgb="FFFF0000"/>
        <rFont val="Arial"/>
        <family val="2"/>
      </rPr>
      <t xml:space="preserve">** </t>
    </r>
  </si>
  <si>
    <t>Gemenge (Leguminosenanteil bis 50 %)</t>
  </si>
  <si>
    <t>Saatmais (&lt; 30 dt/ha)</t>
  </si>
  <si>
    <t>Saatmais (30 bis &lt; 40 dt/ha)</t>
  </si>
  <si>
    <t>Saatmais (40 bis &lt; 50 dt/ha)</t>
  </si>
  <si>
    <t>Saatmais (≥ 50 dt/ha)</t>
  </si>
  <si>
    <r>
      <t>zum 6-Blattstadium/späte N</t>
    </r>
    <r>
      <rPr>
        <vertAlign val="subscript"/>
        <sz val="11"/>
        <color theme="1"/>
        <rFont val="Arial"/>
        <family val="2"/>
      </rPr>
      <t>min</t>
    </r>
  </si>
  <si>
    <t>(Nach §3 (6) nov. DüV dürfen auf Schläge mit &gt; 20 mg/100g Boden (CAL-Methode)) „phosphathaltige Düngemittel höchstens bis in Höhe der voraussichtlichen Phosphatabfuhr ausgebracht werden; im Rahmen der Fruchtfolge kann die voraussichtliche Phosphatabfuhr für einen Zeitraum von höchstens drei Jahren zu Grunde gelegt werden.“</t>
  </si>
  <si>
    <t xml:space="preserve">P2O5/K2O/MgO-Zu-/Abschläge 
aufgrund Gehaltsklasse </t>
  </si>
  <si>
    <t>(Bodengehaltsklassen, Bodenart)</t>
  </si>
  <si>
    <t>Zuschlag Max (nur für Erdbeeren)</t>
  </si>
  <si>
    <t>Durchwachsene Silphie</t>
  </si>
  <si>
    <t>zum NID</t>
  </si>
  <si>
    <t>Haftungsausschluss</t>
  </si>
  <si>
    <t>Achim Bader (LEL)</t>
  </si>
  <si>
    <t>Telefon: 07171 / 917-226</t>
  </si>
  <si>
    <t>Achim.Bader@lel.bwl.de</t>
  </si>
  <si>
    <t>HYPERLINK("#AB_Eingabe!I15";"&gt;&gt;&gt; Bitte Gemarkungsnummer eintragen!")</t>
  </si>
  <si>
    <t>Ansprechpartner für fachliche Fragen:</t>
  </si>
  <si>
    <t>Keine Überschreitung des Düngebedarfs:</t>
  </si>
  <si>
    <t>Aufzeichnungen:</t>
  </si>
  <si>
    <t>Organische bzw. organisch-mineralische Düngung der letzten Jahre</t>
  </si>
  <si>
    <t>Die Angaben unter "Anbau" gilt es bei der Berechnung nicht weiter zu berücksichtigen, sodass eine entsprechende Abfrage entfällt.</t>
  </si>
  <si>
    <r>
      <t>Die Ermittlung des N-</t>
    </r>
    <r>
      <rPr>
        <b/>
        <sz val="11"/>
        <color theme="1"/>
        <rFont val="Arial"/>
        <family val="2"/>
      </rPr>
      <t>Düngebedarf</t>
    </r>
    <r>
      <rPr>
        <sz val="11"/>
        <color theme="1"/>
        <rFont val="Arial"/>
        <family val="2"/>
      </rPr>
      <t xml:space="preserve">s für Reben und Obst ist im Rechengang an die Vorgaben der DüV angelehnt, allerdings werden die Kulturen nicht in der DüV geführt (Ausnahme: Erdbeeren). </t>
    </r>
  </si>
  <si>
    <t xml:space="preserve">Auch für Grundnährstoffe und Kalk gilt, dass wenn der/die berechnete Düngebedarf/-empfehlung unter 0 kg/ha liegt, eine Düngeempfehlung von 0 kg/ha ausgegeben wird. 
</t>
  </si>
  <si>
    <t>Wenn alle Pflichtfelder (mit *, ** bzw.*** in der Anwendung gekennzeichnet) vorgenommen sind, dann dient der Ergebnisausdruck der Dokumentation der guten fachlichen Praxis der Düngung. Folgender Hinweis wird im Ergebnis eingeblendet: "Dieses Attest gilt als Aufzeichnung gemäß DüV  §10 (1) Nr.1." ansonsten erscheint der Hinweis: "Es handelt sich nicht um eine Aufzeichnung nach DüV § 10 (1) Nr. 1."</t>
  </si>
  <si>
    <t>Im Fall von Obst und Reben ist der Ertrag in Form der alternativen Ertragseingabe anzugeben (die letzten Jahre werden nicht einzeln abgefragt, da zunächst bspw. für Junganlagen keine Werte vorliegen).
Im Fall von Erdbeeren ist allerdings der 3-jährige Ertragsdurchschnitt einzutragen.</t>
  </si>
  <si>
    <r>
      <t xml:space="preserve">Die </t>
    </r>
    <r>
      <rPr>
        <b/>
        <sz val="11"/>
        <color theme="1"/>
        <rFont val="Arial"/>
        <family val="2"/>
      </rPr>
      <t>N-Lieferung aus dem Bodenvorrat</t>
    </r>
    <r>
      <rPr>
        <sz val="11"/>
        <color theme="1"/>
        <rFont val="Arial"/>
        <family val="2"/>
      </rPr>
      <t xml:space="preserve"> (anhand der organischen Substanz [%]) wird bei der Ermittlung  der N-Obergrenze berücksichtigt und bestimmt die Höhe des Abschlags.   
Alle weiteren zu "Boden" angeführten Größen gehen nicht in die Berechnung der N-Obergrenze ein. Allerdings haben diese (Ausnahme: Ackerzahl) eine Auswirkung auf die Höhe des Düngebedarfs von Grundnährstoffen und Kalk.
</t>
    </r>
  </si>
  <si>
    <t xml:space="preserve">Der pauschale Abschlag bei fehlenden Angaben zu Düngemittel und -menge entfällt im Fall dieser Kulturgruppen.
Für die Ermittlung des Düngebedarfs von Grundnährstoffen ist bei Obst die Düngung im Herbst relevant.  </t>
  </si>
  <si>
    <t>Nur im Fall von Erdbeeren werden die unter "Anbau" gemachten Angaben relevant. Es wird die Vorfrucht inklusive der Ertragsangabe und der Abfuhrsituation der Ernterückstände abgefragt. Sodass eventuell ein Abschlag bei der N-Düngebedarfsermittlung berücksichtigt wird.
Wichtig ist die Berücksichtigung der Ernterückstände im Fall der Grundnährstoffe. Hier ergibt sich der Abschlag für nicht abgefahrene Ernterückstände als Produkt aus Ertragsniveau der Vorfrucht und der Differenz des kulturspezifischen Entzugs- und Abfuhrwertes.</t>
  </si>
  <si>
    <t>Diese gelten nur für die genannten Kulturgruppen. Bei auftretender starker Wüchsigkeit der Reben oder dem Umbruch einer langjährigen Begrünung oder dem Umbruch eines Leguminosenbestandes in jeder zweiten Gasse wird ein Abschlag bei der Ermittlung des N-Düngebedarfs vorgenommen. Sind die Reben von akutem N-Mangel betroffen oder der Humusgehalt liegt unter 1,5%, wird ein Zuschlag bei der Ermittlung des N-Düngebedarfs verrechnet. 
Sind Erdbeeren die Hauptfrucht, dann wird im Falle einer Abdeckung mit Folien oder Vlies zur Ernteverfrühung ein Zuschlag bei der Berechnung des N-Düngebedarfs vorgenommen.</t>
  </si>
  <si>
    <t>Weiterhin wird für die gewählte Kultur der Grundnährstoffbedarf [kg/ha] für Phosphat, Kaliumoxid und Magnesiumoxid ermittelt. Dieser ergibt sich aus der Abfuhr (Ertragserwartung * Abfuhrwert von P2O5/K2O/MgO). Hierfür ist anzugeben, ob die Erntereste (Stroh/Blatt/Kraut) der Hauptfrucht abgefahren werden oder nicht ("Ja" bzw. "Nein").</t>
  </si>
  <si>
    <t>Für Reben wird der Düngebedarf an Grundnährstoffen mittels einer anhand von Versuchen abgeleiteten Formel berechnet. In diese geht lediglich der Bodengehaltswert für die entsprechenden Grundnähstoffe ein. 
Anders bei Obst. Hier wird die Abfuhr an Grundnährstoffen durch die Hauptfrucht ermittelt und ein Zuschlag für die nicht erntebare Restpflanze [kg/ha] gegeben.</t>
  </si>
  <si>
    <t>Für Reben wird der Düngebedarf an Grundnährstoffen mittels einer anhand von Versuchen abgeleiteten Formel berechnet. In diese geht lediglich der Bodengehaltswert für die entsprechenden Grundnähstoffe ein.</t>
  </si>
  <si>
    <r>
      <t>Zusätzliche Pflichtfelder aufgrund der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-Berechnung sind der Bodengehaltswert, die Bodenart und Angaben zum Verbleib der Erntereste (Stroh/Blatt/Kraut) der Hauptfrucht.</t>
    </r>
  </si>
  <si>
    <t>Vollständig</t>
  </si>
  <si>
    <t>Wann muss eine Düngebedarfsermittlung erstellt werden:</t>
  </si>
  <si>
    <r>
      <t xml:space="preserve">Es findet keine Unterscheidung für die </t>
    </r>
    <r>
      <rPr>
        <b/>
        <sz val="11"/>
        <color theme="1"/>
        <rFont val="Arial"/>
        <family val="2"/>
      </rPr>
      <t>Düngung im letzten Jahr</t>
    </r>
    <r>
      <rPr>
        <sz val="11"/>
        <color theme="1"/>
        <rFont val="Arial"/>
        <family val="2"/>
      </rPr>
      <t xml:space="preserve"> (insgesamt/im Herbst aufgebracht) statt, sodass lediglich Eingaben der insgesamt im letzten Jahr aufgebrachten organischen bzw. organisch-mineralischen Düngemittel verlangt sind. Der pauschale Abschlag bei fehlenden Eintragungen zur Düngemittel und -menge entfällt im Fall dieser Kulturgruppen. Die Düngung mit Kompost ist nicht gesondert anzugeben.</t>
    </r>
  </si>
  <si>
    <r>
      <t xml:space="preserve">Im Fall des Ergebnisses der </t>
    </r>
    <r>
      <rPr>
        <b/>
        <sz val="11"/>
        <color theme="1"/>
        <rFont val="Arial"/>
        <family val="2"/>
      </rPr>
      <t>N-Düngeempfehlung</t>
    </r>
    <r>
      <rPr>
        <sz val="11"/>
        <color theme="1"/>
        <rFont val="Arial"/>
        <family val="2"/>
      </rPr>
      <t xml:space="preserve"> sind folgende Punkte zusätzlich zu berücksichtigen: Die errechnete Empfehlung wird nach unten durch einen Mindestwert und nach oben durch einen Höchstwert bezüglich der gesamten Stickstoffgabe begrenzt. Alle Grenzwerte sind für die Kulturen tabellarisch hinterlegt und sind im Ergebnis bei einer entsprechenden Über- oder Unterschreitung bereits berücksichtigt. Liegt die berechnete Düngeempfehlung unter 0 kg N/ha, wird eine Düngeempfehlung von 0 kg N/ha ausgegeben. Liegt die berechnete Düngeempfehlung zwischen 0 und 30 kg N/ha, wird eine Düngeempfehlung von 30 kg N/ha ausgegeben. Liegt die berechnete Düngeempfehlung unter der tabellarisch hinterlegten Mindestdüngemenge, wird die berechnete Düngeempfehlung auf diese Mindestdüngemenge angehoben. Diese Handhabung gilt nur für Mineralböden und nicht für die Bodenarten "Anmoor" und "Moor".   
Ist die Summe der Abschläge aufgrund der N-Lieferung der Vorfrucht (inkl. verbliebene Ernterückstände) oder des Zwischenfruchtanbaus (inkl. Düngung im Herbst) größer 40 kg N/ha, dann wird diese Summe auf 40 kg N/ha begrenzt. In der Ergebnisansicht wird für diesen Fall der Abschlag aufgrund der Eingaben zum Zwischenfruchtanbau begrenzt. Ist einer der Werte größer/gleich 40 kg N/ha, wird lediglich der größere der beiden Abschlagswerte verrechnet.</t>
    </r>
  </si>
  <si>
    <r>
      <t xml:space="preserve">Die gute fachliche Praxis hat sich unter Berücksichtigung der Standortbedingungen an einem Gleichgewicht zwischen dem voraussichtlichen Nährstoffbedarf der Pflanzen einerseits und der Nährstoffversorgung aus dem Boden und aus der Düngung andererseits auszurichten.
Mit dieser EXCEL-Anwendung wird der Düngebedarf einer Kultur an </t>
    </r>
    <r>
      <rPr>
        <b/>
        <sz val="11"/>
        <color theme="1"/>
        <rFont val="Arial"/>
        <family val="2"/>
      </rPr>
      <t>Stickstoff</t>
    </r>
    <r>
      <rPr>
        <sz val="11"/>
        <color theme="1"/>
        <rFont val="Arial"/>
        <family val="2"/>
      </rPr>
      <t xml:space="preserve"> (</t>
    </r>
    <r>
      <rPr>
        <b/>
        <sz val="11"/>
        <color theme="1"/>
        <rFont val="Arial"/>
        <family val="2"/>
      </rPr>
      <t>Kultur- und standortbezogene</t>
    </r>
    <r>
      <rPr>
        <sz val="11"/>
        <color theme="1"/>
        <rFont val="Arial"/>
        <family val="2"/>
      </rPr>
      <t xml:space="preserve"> N-Obergrenze nach DüV) sowie an </t>
    </r>
    <r>
      <rPr>
        <b/>
        <sz val="11"/>
        <color theme="1"/>
        <rFont val="Arial"/>
        <family val="2"/>
      </rPr>
      <t>Phosphat</t>
    </r>
    <r>
      <rPr>
        <sz val="11"/>
        <color theme="1"/>
        <rFont val="Arial"/>
        <family val="2"/>
      </rPr>
      <t xml:space="preserve">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xml:space="preserve">-Düngebedarf nach DüV), </t>
    </r>
    <r>
      <rPr>
        <b/>
        <sz val="11"/>
        <color theme="1"/>
        <rFont val="Arial"/>
        <family val="2"/>
      </rPr>
      <t>Kali</t>
    </r>
    <r>
      <rPr>
        <sz val="11"/>
        <color theme="1"/>
        <rFont val="Arial"/>
        <family val="2"/>
      </rPr>
      <t xml:space="preserve"> (K</t>
    </r>
    <r>
      <rPr>
        <vertAlign val="subscript"/>
        <sz val="11"/>
        <color theme="1"/>
        <rFont val="Arial"/>
        <family val="2"/>
      </rPr>
      <t>2</t>
    </r>
    <r>
      <rPr>
        <sz val="11"/>
        <color theme="1"/>
        <rFont val="Arial"/>
        <family val="2"/>
      </rPr>
      <t xml:space="preserve">O), </t>
    </r>
    <r>
      <rPr>
        <b/>
        <sz val="11"/>
        <color theme="1"/>
        <rFont val="Arial"/>
        <family val="2"/>
      </rPr>
      <t>Magnesiumoxid</t>
    </r>
    <r>
      <rPr>
        <sz val="11"/>
        <color theme="1"/>
        <rFont val="Arial"/>
        <family val="2"/>
      </rPr>
      <t xml:space="preserve"> (MgO) und </t>
    </r>
    <r>
      <rPr>
        <b/>
        <sz val="11"/>
        <color theme="1"/>
        <rFont val="Arial"/>
        <family val="2"/>
      </rPr>
      <t>Kalk</t>
    </r>
    <r>
      <rPr>
        <sz val="11"/>
        <color theme="1"/>
        <rFont val="Arial"/>
        <family val="2"/>
      </rPr>
      <t xml:space="preserve"> berechnet.
Im Ackerbau wird es zusätzlich zur N-Obergrenze nach neuer Düngeverordnung (DüV) auch eine N-Düngeempfehlung nach dem Rechenschema des „alten Nitratinformationsdienstes (NID)“ geben. Während die Düngeempfehlung für den/die LandwirtIn eine Zusatzinformation darstellt, ist die kultur- und standortspezifische Obergrenze rechtlich bindend. Diese darf nicht überschritten werden. Der Ablauf der Berechnung des Empfehlungswertes ist ähnlich dem der N-Obergrenze nach neuer DüV. Es sind jedoch andere Tabellen hinterlegt und es werden zusätzliche Abfragen nötig.
Der Düngebedarf der Kultur wird für einen Schlag/eine Bewirtschaftungseinheit und bezogen auf einen Hektar [ha] ermittelt.
Im Programm ist es möglich, den Düngebedarf für die Kulturgruppen </t>
    </r>
    <r>
      <rPr>
        <b/>
        <sz val="11"/>
        <color theme="1"/>
        <rFont val="Arial"/>
        <family val="2"/>
      </rPr>
      <t>Ackerbau,</t>
    </r>
    <r>
      <rPr>
        <sz val="11"/>
        <color theme="1"/>
        <rFont val="Arial"/>
        <family val="2"/>
      </rPr>
      <t xml:space="preserve"> </t>
    </r>
    <r>
      <rPr>
        <b/>
        <sz val="11"/>
        <color theme="1"/>
        <rFont val="Arial"/>
        <family val="2"/>
      </rPr>
      <t>Grünland,</t>
    </r>
    <r>
      <rPr>
        <sz val="11"/>
        <color theme="1"/>
        <rFont val="Arial"/>
        <family val="2"/>
      </rPr>
      <t xml:space="preserve"> </t>
    </r>
    <r>
      <rPr>
        <b/>
        <sz val="11"/>
        <color theme="1"/>
        <rFont val="Arial"/>
        <family val="2"/>
      </rPr>
      <t>Obst</t>
    </r>
    <r>
      <rPr>
        <sz val="11"/>
        <color theme="1"/>
        <rFont val="Arial"/>
        <family val="2"/>
      </rPr>
      <t xml:space="preserve"> (inkl. Erdbeeren) und </t>
    </r>
    <r>
      <rPr>
        <b/>
        <sz val="11"/>
        <color theme="1"/>
        <rFont val="Arial"/>
        <family val="2"/>
      </rPr>
      <t>Reben</t>
    </r>
    <r>
      <rPr>
        <sz val="11"/>
        <color theme="1"/>
        <rFont val="Arial"/>
        <family val="2"/>
      </rPr>
      <t xml:space="preserve"> zu ermitteln. 
Zur Berechnung des Düngebedarfs für </t>
    </r>
    <r>
      <rPr>
        <b/>
        <sz val="11"/>
        <color theme="1"/>
        <rFont val="Arial"/>
        <family val="2"/>
      </rPr>
      <t>Gemüse</t>
    </r>
    <r>
      <rPr>
        <sz val="11"/>
        <color theme="1"/>
        <rFont val="Arial"/>
        <family val="2"/>
      </rPr>
      <t xml:space="preserve"> nutzen Sie bitte die Online-Anwendung unter: </t>
    </r>
    <r>
      <rPr>
        <sz val="11"/>
        <color rgb="FF0000FF"/>
        <rFont val="Arial"/>
        <family val="2"/>
      </rPr>
      <t>www.duengung-bw.de</t>
    </r>
  </si>
  <si>
    <t>DüV (Düngeverordnung vom 26. Mai 2017 (BGBl. I S.1305 )) </t>
  </si>
  <si>
    <t>§ 3 (2) DüV</t>
  </si>
  <si>
    <t>§ 8 (6) DüV</t>
  </si>
  <si>
    <t>Dokumentation gemäß § 10 (1) Nr. 1 DüV</t>
  </si>
  <si>
    <r>
      <t xml:space="preserve">Die Kultur für die der Düngebedarf ermittelt wird, ist im Dropdown </t>
    </r>
    <r>
      <rPr>
        <b/>
        <sz val="11"/>
        <color theme="1"/>
        <rFont val="Arial"/>
        <family val="2"/>
      </rPr>
      <t>"Hauptfrucht"</t>
    </r>
    <r>
      <rPr>
        <sz val="11"/>
        <color theme="1"/>
        <rFont val="Arial"/>
        <family val="2"/>
      </rPr>
      <t xml:space="preserve"> auszuwählen. Werden Leguminosen als Hauptfrucht gewählt, dann erscheint folgender Hinweis: "Diese Fruchtart wird üblicherweise nicht mit Stickstoff gedüngt." Nicht davon betroffen ist die Ermittlung des Düngebedarfs an Grundnährstoffen und Kalk.       
Zur Ermittlung des</t>
    </r>
    <r>
      <rPr>
        <b/>
        <sz val="11"/>
        <color theme="1"/>
        <rFont val="Arial"/>
        <family val="2"/>
      </rPr>
      <t xml:space="preserve"> tatsächlichen Ertragsniveaus</t>
    </r>
    <r>
      <rPr>
        <sz val="11"/>
        <color theme="1"/>
        <rFont val="Arial"/>
        <family val="2"/>
      </rPr>
      <t xml:space="preserve"> im Durchschnitt der letzten drei Jahre für die gewählte Hauptfrucht bestehen zwei Eingabemöglichkeiten. Vorrangig einzugeben sind die letzten 4 Jahre (mindestens die letzten 3 Jahre). Einzeljahreswerte können bei einer Abweichung im Vergleich zum vorangegangenen Jahr von mehr als 20 % durch den </t>
    </r>
    <r>
      <rPr>
        <b/>
        <sz val="11"/>
        <color theme="1"/>
        <rFont val="Arial"/>
        <family val="2"/>
      </rPr>
      <t>Vorjahreswert</t>
    </r>
    <r>
      <rPr>
        <sz val="11"/>
        <color theme="1"/>
        <rFont val="Arial"/>
        <family val="2"/>
      </rPr>
      <t xml:space="preserve"> ersetzt werden. Dieser Austausch wird mit der Wahl zwischen "Ja"/"Nein" im entsprechenden Feld vorgenommen. 
Falls erstere Eingabe nicht möglich ist, kann auch der </t>
    </r>
    <r>
      <rPr>
        <b/>
        <sz val="11"/>
        <color theme="1"/>
        <rFont val="Arial"/>
        <family val="2"/>
      </rPr>
      <t>dreijährige Ertragsdurchschnitt</t>
    </r>
    <r>
      <rPr>
        <sz val="11"/>
        <color theme="1"/>
        <rFont val="Arial"/>
        <family val="2"/>
      </rPr>
      <t xml:space="preserve"> (Ermittlungsgrundlage: Anlage 4, Tab. 3 DüV) pauschal eingegeben werden.
Der Ertragsdurchschnitt ist durch (teilweise "Vergleichsgebiets"-abhängige) Mindest- und Höchsterträge begrenzt. Begrenzt wird lediglich bei der Berechnung der Düngeempfehlung für Stickstoff im Ackerbau. Der entsprechende Fall wird wie folgt kommentiert: "Die Düngeempfehlung wurde an den Höchstertrag angepasst." bzw. "Die Düngeempfehlung ist an die festgelegte minimale Ertragserwartung angepasst." </t>
    </r>
  </si>
  <si>
    <r>
      <t>Für (Dauer-)Grünland und mehrschnittigen Feldfutterbau kann zusätzlich der</t>
    </r>
    <r>
      <rPr>
        <b/>
        <sz val="11"/>
        <color theme="1"/>
        <rFont val="Arial"/>
        <family val="2"/>
      </rPr>
      <t xml:space="preserve"> tatsächliche Rohprotein-/RP-Gehalt</t>
    </r>
    <r>
      <rPr>
        <sz val="11"/>
        <color theme="1"/>
        <rFont val="Arial"/>
        <family val="2"/>
      </rPr>
      <t xml:space="preserve"> [%] im Durchschnitt der letzten drei Jahre für die gewählte Hauptfrucht eingegeben werden. Vorrangig einzugeben sind die letzten 4 Jahre (mindestens die letzten 3 Jahre). Einzeljahreswerte können bei einer Abweichung im Vergleich zum vorangegangenen Jahr von mehr als 20 % durch den Vorjahreswert ersetzt werden. Dieser Austausch wird mit der Wahl zwischen "Ja"/"Nein" im entsprechenden Feld vorgenommen. Falls erstere Eingabe nicht möglich ist, kann der dreijährige Durchschnitt des RP-Gehaltes (Ermittlungsgrundlage: Anlage 4, Tab. 10 DüV pauschal eingegeben werden, sodass dieser weiter verrechnet wird.</t>
    </r>
  </si>
  <si>
    <t>§ 3 (3) DüV</t>
  </si>
  <si>
    <t xml:space="preserve">Die Eingabebereiche für die verschiedenen Kulturgruppen der Anwendung sind jederzeit über das Startmenü (entsprechender Button mit Hyperlink befindet sich auf jedem Registerblatt) zu erreichen.   
Die Bereiche umfassen jeweils ein Registerblatt zur Eingabe (bspw. AB_Eingabe für Ackerbaukulturen), ein Registerblatt Ergebnis (entsprechend AB_Ergebnis) und ein Registerblatt Kommentare (entsprechend AB_Kommentare).       
Die Speicherung der Ergebnisse erfolgt über den Pfad Datei &gt;&gt;&gt; Speichern unter &gt;&gt;&gt; "Speichername". Sie müssen jede Berechnungsdatei, welche je eine Berechnung pro Kulturgruppe ermöglicht, einzeln abspeichern und in geeigneter Form (sortiert nach Jahr und Kultur oder Schlag) an Ihrem Speicherort ablegen.       
Einen Ausdruck erstellen Sie über den Pfad Datei &gt;&gt;&gt; Drucken. </t>
  </si>
  <si>
    <r>
      <t xml:space="preserve">Zunächst sind die allgemeinen Angaben, die den Betrieb betreffen, für den die Düngebedarfsermittlung erfolgt, einzutragen. Diese sind: </t>
    </r>
    <r>
      <rPr>
        <b/>
        <sz val="11"/>
        <color theme="1"/>
        <rFont val="Arial"/>
        <family val="2"/>
      </rPr>
      <t>Nach-/Vorname</t>
    </r>
    <r>
      <rPr>
        <sz val="11"/>
        <color theme="1"/>
        <rFont val="Arial"/>
        <family val="2"/>
      </rPr>
      <t xml:space="preserve">, </t>
    </r>
    <r>
      <rPr>
        <b/>
        <sz val="11"/>
        <color theme="1"/>
        <rFont val="Arial"/>
        <family val="2"/>
      </rPr>
      <t>Adresse,</t>
    </r>
    <r>
      <rPr>
        <sz val="11"/>
        <color theme="1"/>
        <rFont val="Arial"/>
        <family val="2"/>
      </rPr>
      <t xml:space="preserve"> </t>
    </r>
    <r>
      <rPr>
        <b/>
        <sz val="11"/>
        <color theme="1"/>
        <rFont val="Arial"/>
        <family val="2"/>
      </rPr>
      <t>Betriebs-Nr.</t>
    </r>
    <r>
      <rPr>
        <sz val="11"/>
        <color theme="1"/>
        <rFont val="Arial"/>
        <family val="2"/>
      </rPr>
      <t xml:space="preserve">, </t>
    </r>
    <r>
      <rPr>
        <b/>
        <sz val="11"/>
        <color theme="1"/>
        <rFont val="Arial"/>
        <family val="2"/>
      </rPr>
      <t>Schlagname</t>
    </r>
    <r>
      <rPr>
        <sz val="11"/>
        <color theme="1"/>
        <rFont val="Arial"/>
        <family val="2"/>
      </rPr>
      <t xml:space="preserve"> oder </t>
    </r>
    <r>
      <rPr>
        <b/>
        <sz val="11"/>
        <color theme="1"/>
        <rFont val="Arial"/>
        <family val="2"/>
      </rPr>
      <t>-Nr.</t>
    </r>
    <r>
      <rPr>
        <sz val="11"/>
        <color theme="1"/>
        <rFont val="Arial"/>
        <family val="2"/>
      </rPr>
      <t xml:space="preserve">, und der betreffende </t>
    </r>
    <r>
      <rPr>
        <b/>
        <sz val="11"/>
        <color theme="1"/>
        <rFont val="Arial"/>
        <family val="2"/>
      </rPr>
      <t>Dienstbezirk</t>
    </r>
    <r>
      <rPr>
        <sz val="11"/>
        <color theme="1"/>
        <rFont val="Arial"/>
        <family val="2"/>
      </rPr>
      <t xml:space="preserve">.           
Damit die Dokumentation pflichtgemäß erfolgen kann, ist das </t>
    </r>
    <r>
      <rPr>
        <b/>
        <sz val="11"/>
        <color theme="1"/>
        <rFont val="Arial"/>
        <family val="2"/>
      </rPr>
      <t>Datum der Erfassung</t>
    </r>
    <r>
      <rPr>
        <sz val="11"/>
        <color theme="1"/>
        <rFont val="Arial"/>
        <family val="2"/>
      </rPr>
      <t xml:space="preserve"> bzw. der Düngebedarfsermittlung in dem entsprechenden Feld einzutragen.    
In Abhängigkeit der </t>
    </r>
    <r>
      <rPr>
        <b/>
        <sz val="11"/>
        <color theme="1"/>
        <rFont val="Arial"/>
        <family val="2"/>
      </rPr>
      <t>Gemarkungs-Nr.</t>
    </r>
    <r>
      <rPr>
        <sz val="11"/>
        <color theme="1"/>
        <rFont val="Arial"/>
        <family val="2"/>
      </rPr>
      <t xml:space="preserve"> wird das Vergleichsgebiet, in welchem sich der Schlag zum überwiegenden Teil befindet, ermittelt. Relevanz hat diese Eingabe aufgrund der Berücksichtigung vergleichsgebietsabhängiger Berechnungsvorgaben (wenige, aber bedeutende Kulturen bspw. Winterweizen sind betroffen).      
Im Registerblatt "Gemarkungen" sind alle Ortschaften mit ihren Gemarkungs-Nr. und dem dazugehörenden Vergleichsgebiet alphabetisch gelistet. Dies hilft bei der entsprechenden Auswahl. Wenn Sie auf Gemarkungs-Nr. klicken, gelangen Sie zu dem entsprechenden Registerblatt. </t>
    </r>
  </si>
  <si>
    <t xml:space="preserve">Zur Ermittlung der Obergrenze für Stickstoff gemäß DüV sind für eine Auswahl an Kulturen bereits Bedarfswerte in der DüV vorgegeben und wurden für die übrigen Kulturen ergänzt. Die Bedarfswerte werden aufgrund des tatsächlichen Ertragsniveaus und gegebenenfalls dem tatsächlichen RP-Gehalt entsprechend korrigiert. Korrekturen aufgrund eines deutlich höheren tatsächlichen Ertragsniveaus werden für Ackerbaukulturen auf maximal 40 kg N/ha begrenzt. </t>
  </si>
  <si>
    <r>
      <t xml:space="preserve">Der </t>
    </r>
    <r>
      <rPr>
        <b/>
        <sz val="11"/>
        <color theme="1"/>
        <rFont val="Arial"/>
        <family val="2"/>
      </rPr>
      <t>N</t>
    </r>
    <r>
      <rPr>
        <b/>
        <vertAlign val="subscript"/>
        <sz val="11"/>
        <color theme="1"/>
        <rFont val="Arial"/>
        <family val="2"/>
      </rPr>
      <t>min</t>
    </r>
    <r>
      <rPr>
        <b/>
        <sz val="11"/>
        <color theme="1"/>
        <rFont val="Arial"/>
        <family val="2"/>
      </rPr>
      <t>/Nitrat-N-Bodenvorrat im Frühjahr</t>
    </r>
    <r>
      <rPr>
        <sz val="11"/>
        <color theme="1"/>
        <rFont val="Arial"/>
        <family val="2"/>
      </rPr>
      <t xml:space="preserve"> ist zu berücksichtigen. Er kann ermittelt werden über den </t>
    </r>
    <r>
      <rPr>
        <b/>
        <sz val="11"/>
        <color theme="1"/>
        <rFont val="Arial"/>
        <family val="2"/>
      </rPr>
      <t>Referenzwert</t>
    </r>
    <r>
      <rPr>
        <sz val="11"/>
        <color theme="1"/>
        <rFont val="Arial"/>
        <family val="2"/>
      </rPr>
      <t xml:space="preserve"> anhand des Vergleichsgebietes (aktuelle Ergebnisse des LTZs) oder besser durch Analyse </t>
    </r>
    <r>
      <rPr>
        <b/>
        <sz val="11"/>
        <color theme="1"/>
        <rFont val="Arial"/>
        <family val="2"/>
      </rPr>
      <t>eigener Bodenproben.</t>
    </r>
  </si>
  <si>
    <r>
      <t xml:space="preserve">Auch die Düngung, welche im letzten Jahr auf dem betrachteten Schlag stattgefunden hat, beeinflusst den Düngebedarf der Hauptfrucht. Dabei betrachtet man verschiedene Zeitspannen. Zum einen ist die </t>
    </r>
    <r>
      <rPr>
        <b/>
        <sz val="11"/>
        <color theme="1"/>
        <rFont val="Arial"/>
        <family val="2"/>
      </rPr>
      <t>organische bzw. organisch mineralische Düngung im Herbst</t>
    </r>
    <r>
      <rPr>
        <sz val="11"/>
        <color theme="1"/>
        <rFont val="Arial"/>
        <family val="2"/>
      </rPr>
      <t xml:space="preserve"> - nach der Ernte der Vorfrucht bzw. zur Zwischenfrucht oder Begrünung von Bedeutung. Dies macht die Auswahl des angewandten </t>
    </r>
    <r>
      <rPr>
        <b/>
        <sz val="11"/>
        <color theme="1"/>
        <rFont val="Arial"/>
        <family val="2"/>
      </rPr>
      <t>Düngemittel</t>
    </r>
    <r>
      <rPr>
        <sz val="11"/>
        <color theme="1"/>
        <rFont val="Arial"/>
        <family val="2"/>
      </rPr>
      <t xml:space="preserve">s erforderlich. Sollen individuelle Angaben zum Düngemittel genutzt werden, dann besteht die Option in dem Registerblatt mit den entsprechenden Stammdaten eine Ergänzung vorzunehmen. Hierfür sind die gelben Felder vorgesehen, in welchen neben dem Düngernamen sämtliche Angaben gemacht werden können.  Zusätzlich ist die aufgebrachte </t>
    </r>
    <r>
      <rPr>
        <b/>
        <sz val="11"/>
        <color theme="1"/>
        <rFont val="Arial"/>
        <family val="2"/>
      </rPr>
      <t>Menge</t>
    </r>
    <r>
      <rPr>
        <sz val="11"/>
        <color theme="1"/>
        <rFont val="Arial"/>
        <family val="2"/>
      </rPr>
      <t xml:space="preserve"> (für flüssigen Wirtschaftsdünger (WD) [m³/ha] bzw. festen WD (inkl. organisch-mineralischen Handelsdünger) [t/ha])  einzutragen. Fehlt ein entsprechender Eintrag, wird dies wie folgt berücksichtigt bzw. kommentiert:       
"Düngerart bzw. -menge nicht/ungenau angegeben, es wurde pauschal mit einem Abschlag von 17 kg N/ha gerechnet."       
Liegt ein </t>
    </r>
    <r>
      <rPr>
        <b/>
        <sz val="11"/>
        <color theme="1"/>
        <rFont val="Arial"/>
        <family val="2"/>
      </rPr>
      <t>Eigenanalysewert</t>
    </r>
    <r>
      <rPr>
        <sz val="11"/>
        <color theme="1"/>
        <rFont val="Arial"/>
        <family val="2"/>
      </rPr>
      <t xml:space="preserve"> zum N-Gehalt [kg N/m³ bzw. t] des aufgebrachten Wirtschaftsdüngers vor, so kann dieser angegeben werden. Ansonsten wird mit dem entsprechenden Tabellenwert gerechnet. Für Klärschlämme, Gärrückstände und Fleischknochenmehl sind zwingend Analyse- bzw. Kennzeichnungswerte einzutragen, um zu einem Ergebnis für Dokumentationszwecke zu kommen.      
Im Fall von Stickstoff müssen alle </t>
    </r>
    <r>
      <rPr>
        <b/>
        <sz val="11"/>
        <color theme="1"/>
        <rFont val="Arial"/>
        <family val="2"/>
      </rPr>
      <t>weiteren organischen bzw. organisch-mineralischen Düngemittel</t>
    </r>
    <r>
      <rPr>
        <sz val="11"/>
        <color theme="1"/>
        <rFont val="Arial"/>
        <family val="2"/>
      </rPr>
      <t xml:space="preserve">, die im letzten Jahr aufgebracht wurden, angegeben werden. Die Summe des im Vorjahr organischen bzw. organisch-mineralisch aufgebrachten Gesamtstickstoffs wird zu 10% angerechnet und führt zu einem entsprechenden Abschlag. 
Gesondert wird die Düngung mit </t>
    </r>
    <r>
      <rPr>
        <b/>
        <sz val="11"/>
        <color theme="1"/>
        <rFont val="Arial"/>
        <family val="2"/>
      </rPr>
      <t>Komposten</t>
    </r>
    <r>
      <rPr>
        <sz val="11"/>
        <color theme="1"/>
        <rFont val="Arial"/>
        <family val="2"/>
      </rPr>
      <t xml:space="preserve"> behandelt.</t>
    </r>
    <r>
      <rPr>
        <sz val="11"/>
        <rFont val="Arial"/>
        <family val="2"/>
      </rPr>
      <t xml:space="preserve"> Diese werden im ersten Folgejahr der Aufbringung zu vier Prozent und im zweiten und dritten Folgejahr zu jeweils drei Prozent angerechnet. Dementsprechend sind zusätzliche Eingaben erforderlich. Sollte in einem der vorangegangenen Jahre kein Kompost aufgebracht worden sein, ist zwingend eine Null einzutragen (Ursache: Rechengang). Für das Vorjahr i</t>
    </r>
    <r>
      <rPr>
        <sz val="11"/>
        <color theme="1"/>
        <rFont val="Arial"/>
        <family val="2"/>
      </rPr>
      <t>st lediglich die im Frühjahr aufgebrachte Kompostmenge einzutragen. Die im Herbst aufgebrachte Menge wird bei der Eingabe unter "Düngung im Herbst" berücksichtigt.</t>
    </r>
  </si>
  <si>
    <r>
      <t xml:space="preserve">Für Mais als Hauptfrucht wird abgefragt, ob die </t>
    </r>
    <r>
      <rPr>
        <b/>
        <sz val="11"/>
        <color theme="1"/>
        <rFont val="Arial"/>
        <family val="2"/>
      </rPr>
      <t>Empfehlung zur Saat</t>
    </r>
    <r>
      <rPr>
        <sz val="11"/>
        <color theme="1"/>
        <rFont val="Arial"/>
        <family val="2"/>
      </rPr>
      <t xml:space="preserve"> oder</t>
    </r>
    <r>
      <rPr>
        <b/>
        <sz val="11"/>
        <color theme="1"/>
        <rFont val="Arial"/>
        <family val="2"/>
      </rPr>
      <t xml:space="preserve"> zum 6-Blattstadium/späte N</t>
    </r>
    <r>
      <rPr>
        <b/>
        <vertAlign val="subscript"/>
        <sz val="11"/>
        <color theme="1"/>
        <rFont val="Arial"/>
        <family val="2"/>
      </rPr>
      <t>min</t>
    </r>
    <r>
      <rPr>
        <b/>
        <sz val="11"/>
        <color theme="1"/>
        <rFont val="Arial"/>
        <family val="2"/>
      </rPr>
      <t>-Methode</t>
    </r>
    <r>
      <rPr>
        <sz val="11"/>
        <color theme="1"/>
        <rFont val="Arial"/>
        <family val="2"/>
      </rPr>
      <t xml:space="preserve"> erfolgt. Diese Abfrage wirkt sich unter anderem bei der Berechnung der Abschläge aufgrund von Zwischenfrüchten und Vorfrüchten sowie der Bodennachlieferung (Ackerzahl) aus. Bei der Ermittlung des Düngebedarfs für Mais zum 6-Blattstadium/späte N</t>
    </r>
    <r>
      <rPr>
        <vertAlign val="subscript"/>
        <sz val="11"/>
        <color theme="1"/>
        <rFont val="Arial"/>
        <family val="2"/>
      </rPr>
      <t>min</t>
    </r>
    <r>
      <rPr>
        <sz val="11"/>
        <color theme="1"/>
        <rFont val="Arial"/>
        <family val="2"/>
      </rPr>
      <t xml:space="preserve"> (nicht zur Saat) ist die bereits erfolgte Düngemaßnahme anzugeben.
Hierfür ist, wie im Falle der Düngung im letzten Jahr, das entsprechende Düngemittel auszuwählen und die Menge des flüssigen bzw. festen WDs [m³ bzw. t/ha] anzugeben. Auch an dieser Stelle kann ein Eigenanalysewert zum N-Gehalt [kg N/m³ bzw. t] eingetragen werden.     
Der mittels organischen bzw. organisch-mineralisch ausgebrachten Düngemitteln aufgebrachte Stickstoff wird mit einer N-Mindestwirksamkeit [%] angerechnet und führt zu einem entsprechenden Abzug vom Stickstoffbedarf. 
Zusätzlich angerechnet wird eine mineralische Düngung [kg N/ha] wenn keine Null eigetragen wird. Dies wird wie folgt berücksichtigt und kommentiert: "Berechnung nach später Nmin-Methode: Keine Angabe zu eventuell bereits erfolgter N-Gabe (Andüng./Unterfußdüng.): 40 kg N/ha als Mineraldünger angerechnet."</t>
    </r>
  </si>
  <si>
    <t>Für Stickstoff wird sowohl eine Düngeempfehlung, als auch eine Obergrenze ausgewiesen. Bindend ist die N-Obergrenze nach DüV. Dies wird entsprechend kommentiert, falls der Empfehlungswert über der Obergrenze liegt: "Die berechnete N-Empfehlung wurde durch die DüV-Obergrenze begrenzt."</t>
  </si>
  <si>
    <r>
      <t xml:space="preserve">Der ermittelte </t>
    </r>
    <r>
      <rPr>
        <b/>
        <sz val="11"/>
        <color theme="1"/>
        <rFont val="Arial"/>
        <family val="2"/>
      </rPr>
      <t>K</t>
    </r>
    <r>
      <rPr>
        <b/>
        <vertAlign val="subscript"/>
        <sz val="11"/>
        <color theme="1"/>
        <rFont val="Arial"/>
        <family val="2"/>
      </rPr>
      <t>2</t>
    </r>
    <r>
      <rPr>
        <b/>
        <sz val="11"/>
        <color theme="1"/>
        <rFont val="Arial"/>
        <family val="2"/>
      </rPr>
      <t>O/MgO-Düngebedarf</t>
    </r>
    <r>
      <rPr>
        <sz val="11"/>
        <color theme="1"/>
        <rFont val="Arial"/>
        <family val="2"/>
      </rPr>
      <t xml:space="preserve"> stellt die Basis für die Düngeplanung dieser Grundnährstoffe dar.</t>
    </r>
  </si>
  <si>
    <t>*) Schlag: eine einheitlich bewirtschaftete, räumlich zusammenhängende und mit der gleichen Pflanzenart oder mit Pflanzenarten mit vergleichbaren Nährstoffansprüchen bewachsene oder zur Bestellung vorgesehene Fläche (§ 2 Nr. 2 DüV).
**) Bewirtschaftungseinheit: zwei oder mehr Schläge, die vergleichbare Standortverhältnisse aufweisen, einheitlich bewirtschaftet werden und mit der gleichen Pflanzenart oder mit Pflanzenarten mit vergleichbaren Nährstoffansprüchen bewachsen oder zur Bestellung vorgesehen sind (§ 2 Nr. 3 DüV).                                                                                                                                                                                                                                                                                               ***) Wesentliche Nährstoffmenge: eine zugeführte Nährstoffmenge je Hektar und Jahr von mehr als 50 Kilogramm Stickstoff (Gesamtstickstoff) oder 30 Kilogramm Phosphat ( P2O5) (§ 2 Nr. 10 DüV).</t>
  </si>
  <si>
    <r>
      <t>Es wirken sich unter anderem die</t>
    </r>
    <r>
      <rPr>
        <b/>
        <sz val="11"/>
        <color theme="1"/>
        <rFont val="Arial"/>
        <family val="2"/>
      </rPr>
      <t xml:space="preserve"> Vorfrucht</t>
    </r>
    <r>
      <rPr>
        <sz val="11"/>
        <color theme="1"/>
        <rFont val="Arial"/>
        <family val="2"/>
      </rPr>
      <t xml:space="preserve"> sowie nicht abgefahrene </t>
    </r>
    <r>
      <rPr>
        <b/>
        <sz val="11"/>
        <color theme="1"/>
        <rFont val="Arial"/>
        <family val="2"/>
      </rPr>
      <t>Ernterückstände</t>
    </r>
    <r>
      <rPr>
        <sz val="11"/>
        <color theme="1"/>
        <rFont val="Arial"/>
        <family val="2"/>
      </rPr>
      <t xml:space="preserve"> (Stroh, Kraut, Blatt etc.) auf die Nährstoffnachlieferung aus dem Boden aus und werden gegebenenfalls mit einem Abschlag (Sonderfall Hauptfrucht Mais: Unterscheidung zwischen Berechnung zur Saat oder späte N</t>
    </r>
    <r>
      <rPr>
        <vertAlign val="subscript"/>
        <sz val="11"/>
        <color theme="1"/>
        <rFont val="Arial"/>
        <family val="2"/>
      </rPr>
      <t>min</t>
    </r>
    <r>
      <rPr>
        <sz val="11"/>
        <color theme="1"/>
        <rFont val="Arial"/>
        <family val="2"/>
      </rPr>
      <t xml:space="preserve">) berücksichtigt. Wird als Vorfrucht "Sonstige" angegeben, wird dies wie folgt berücksichtigt bzw. kommentiert:   
"Vorfrucht nicht/ungenau angegeben, es wurde pauschal mit einem Abschlag von 10 kg N/ha gerechnet."       
Ebenfalls zu berücksichtigen ist der Anbau von </t>
    </r>
    <r>
      <rPr>
        <b/>
        <sz val="11"/>
        <color theme="1"/>
        <rFont val="Arial"/>
        <family val="2"/>
      </rPr>
      <t>Zwischenfrüchten</t>
    </r>
    <r>
      <rPr>
        <sz val="11"/>
        <color theme="1"/>
        <rFont val="Arial"/>
        <family val="2"/>
      </rPr>
      <t>. Hierbei ergibt sich der Abschlag in Abhängigkeit der Zusammensetzung der Zwischenfrüchte. Liegt der Leguminosenanteil im Bestand bei 60% und größer, handelt es sich um Leguminosen; beträgt er weniger als 60% im Bestand, spricht man von Nichtleguminosen. Zusätzlich geht mit ein, ob die Zwischenfrucht abgefroren ist oder nicht und der Zeitpunkt der Einarbeitung.       
Der Abschlag für den Anbau von Zwischenfrüchten ergibt sich als Tabellenwert je nach Auswahl und im Fall der Berechnung der N-Düngeempfehlung in Abhängigkeit der mineralischen/organischen Düngung im Herbst (Sonderfall Hauptfrucht Mais: Unterscheidung zwischen Berechnung zur Saat oder späte N</t>
    </r>
    <r>
      <rPr>
        <vertAlign val="subscript"/>
        <sz val="11"/>
        <color theme="1"/>
        <rFont val="Arial"/>
        <family val="2"/>
      </rPr>
      <t>min</t>
    </r>
    <r>
      <rPr>
        <sz val="11"/>
        <color theme="1"/>
        <rFont val="Arial"/>
        <family val="2"/>
      </rPr>
      <t xml:space="preserve">). </t>
    </r>
  </si>
  <si>
    <t>örtlich zuständiges Landwirtschaftsamt</t>
  </si>
  <si>
    <t>Mg</t>
  </si>
  <si>
    <r>
      <t>Bodengehaltswert [mg CAL bzw. CaCl</t>
    </r>
    <r>
      <rPr>
        <vertAlign val="subscript"/>
        <sz val="11"/>
        <color theme="1"/>
        <rFont val="Arial"/>
        <family val="2"/>
      </rPr>
      <t>2</t>
    </r>
    <r>
      <rPr>
        <sz val="11"/>
        <color theme="1"/>
        <rFont val="Arial"/>
        <family val="2"/>
      </rPr>
      <t xml:space="preserve">/100g Boden] </t>
    </r>
    <r>
      <rPr>
        <b/>
        <sz val="11"/>
        <color rgb="FFFF0000"/>
        <rFont val="Arial"/>
        <family val="2"/>
      </rPr>
      <t>***</t>
    </r>
  </si>
  <si>
    <r>
      <t xml:space="preserve">Aufgrund der standorttypischen Bodeneigenschaften sind weitere Zu-/Abschläge vorzunehmen. Der </t>
    </r>
    <r>
      <rPr>
        <b/>
        <sz val="11"/>
        <color theme="1"/>
        <rFont val="Arial"/>
        <family val="2"/>
      </rPr>
      <t>Humusgehalt</t>
    </r>
    <r>
      <rPr>
        <sz val="11"/>
        <color theme="1"/>
        <rFont val="Arial"/>
        <family val="2"/>
      </rPr>
      <t xml:space="preserve"> des Schlages bestimmt die Höhe des Abschlags bei der Ermittlung der N-Obergrenze. Wohingegen die Auswahl der </t>
    </r>
    <r>
      <rPr>
        <b/>
        <sz val="11"/>
        <color theme="1"/>
        <rFont val="Arial"/>
        <family val="2"/>
      </rPr>
      <t>Ackerzahl</t>
    </r>
    <r>
      <rPr>
        <sz val="11"/>
        <color theme="1"/>
        <rFont val="Arial"/>
        <family val="2"/>
      </rPr>
      <t xml:space="preserve"> den Abschlag bei der Berechnung der N-Düngeempfehlung bestimmt (Sonderfall Hauptfrucht Mais: Unterscheidung zwischen Berechnung zur Saat oder späte N</t>
    </r>
    <r>
      <rPr>
        <vertAlign val="subscript"/>
        <sz val="11"/>
        <color theme="1"/>
        <rFont val="Arial"/>
        <family val="2"/>
      </rPr>
      <t>min</t>
    </r>
    <r>
      <rPr>
        <sz val="11"/>
        <color theme="1"/>
        <rFont val="Arial"/>
        <family val="2"/>
      </rPr>
      <t xml:space="preserve">). 
Wenn der Humusgehalt zu einem Abschlag von Null führt und gleichzeitig Moor oder Anmoor ausgewählt ist, wird eine N-Lieferung aufgrund des Bodenvorrates abgeschlagen und entsprechend kommentiert: "Verstärkte Nachmineralisation beachten!"       
Die </t>
    </r>
    <r>
      <rPr>
        <b/>
        <sz val="11"/>
        <color theme="1"/>
        <rFont val="Arial"/>
        <family val="2"/>
      </rPr>
      <t>Bodenart</t>
    </r>
    <r>
      <rPr>
        <sz val="11"/>
        <color theme="1"/>
        <rFont val="Arial"/>
        <family val="2"/>
      </rPr>
      <t xml:space="preserve"> und der </t>
    </r>
    <r>
      <rPr>
        <b/>
        <sz val="11"/>
        <color theme="1"/>
        <rFont val="Arial"/>
        <family val="2"/>
      </rPr>
      <t>pH-Wert</t>
    </r>
    <r>
      <rPr>
        <sz val="11"/>
        <color theme="1"/>
        <rFont val="Arial"/>
        <family val="2"/>
      </rPr>
      <t xml:space="preserve"> werden bei der Ermittlung des Düngebedarfs an Grundnährstoffen und Kalk berücksichtigt. Neben der Bodenart ist der Gehalt im Boden [mg/100 g Boden] für die Nährstoffe P</t>
    </r>
    <r>
      <rPr>
        <vertAlign val="subscript"/>
        <sz val="11"/>
        <color theme="1"/>
        <rFont val="Arial"/>
        <family val="2"/>
      </rPr>
      <t>2</t>
    </r>
    <r>
      <rPr>
        <sz val="11"/>
        <color theme="1"/>
        <rFont val="Arial"/>
        <family val="2"/>
      </rPr>
      <t>O</t>
    </r>
    <r>
      <rPr>
        <vertAlign val="subscript"/>
        <sz val="11"/>
        <color theme="1"/>
        <rFont val="Arial"/>
        <family val="2"/>
      </rPr>
      <t>5</t>
    </r>
    <r>
      <rPr>
        <sz val="11"/>
        <color theme="1"/>
        <rFont val="Arial"/>
        <family val="2"/>
      </rPr>
      <t>, K</t>
    </r>
    <r>
      <rPr>
        <vertAlign val="subscript"/>
        <sz val="11"/>
        <color theme="1"/>
        <rFont val="Arial"/>
        <family val="2"/>
      </rPr>
      <t>2</t>
    </r>
    <r>
      <rPr>
        <sz val="11"/>
        <color theme="1"/>
        <rFont val="Arial"/>
        <family val="2"/>
      </rPr>
      <t xml:space="preserve">O und Mg laut Bodenprobenergebnis anzugeben. In der Berechnung wird die </t>
    </r>
    <r>
      <rPr>
        <b/>
        <sz val="11"/>
        <color theme="1"/>
        <rFont val="Arial"/>
        <family val="2"/>
      </rPr>
      <t>Bodengehalt</t>
    </r>
    <r>
      <rPr>
        <sz val="11"/>
        <color theme="1"/>
        <rFont val="Arial"/>
        <family val="2"/>
      </rPr>
      <t xml:space="preserve">sklasse (A bis E - Zuordnung auf Basis der CAL- bzw. CaCl2-Methode)  anhand von Zuschlägen bzw. Abschlagsfaktoren berücksichtigt. Für Phosphat gilt bei einem Gehalt größer 20 mg/100 g Boden (CAL-Methode) nach §3 (6) DüV: Es dürfen auf diesen Schlägen „phosphathaltige Düngemittel höchstens bis in Höhe der voraussichtlichen </t>
    </r>
    <r>
      <rPr>
        <b/>
        <sz val="11"/>
        <color theme="1"/>
        <rFont val="Arial"/>
        <family val="2"/>
      </rPr>
      <t>Phosphatabfuhr</t>
    </r>
    <r>
      <rPr>
        <sz val="11"/>
        <color theme="1"/>
        <rFont val="Arial"/>
        <family val="2"/>
      </rPr>
      <t xml:space="preserve"> aufgebracht werden; im Rahmen der Fruchtfolge kann die voraussichtliche Phosphatabfuhr für einen Zeitraum von höchstens drei Jahren zu Grunde gelegt werden.“</t>
    </r>
  </si>
  <si>
    <r>
      <t xml:space="preserve">Dem Ergebnis ist der </t>
    </r>
    <r>
      <rPr>
        <b/>
        <sz val="11"/>
        <color theme="1"/>
        <rFont val="Arial"/>
        <family val="2"/>
      </rPr>
      <t>P</t>
    </r>
    <r>
      <rPr>
        <b/>
        <vertAlign val="subscript"/>
        <sz val="11"/>
        <color theme="1"/>
        <rFont val="Arial"/>
        <family val="2"/>
      </rPr>
      <t>2</t>
    </r>
    <r>
      <rPr>
        <b/>
        <sz val="11"/>
        <color theme="1"/>
        <rFont val="Arial"/>
        <family val="2"/>
      </rPr>
      <t>O</t>
    </r>
    <r>
      <rPr>
        <b/>
        <vertAlign val="subscript"/>
        <sz val="11"/>
        <color theme="1"/>
        <rFont val="Arial"/>
        <family val="2"/>
      </rPr>
      <t>5</t>
    </r>
    <r>
      <rPr>
        <b/>
        <sz val="11"/>
        <color theme="1"/>
        <rFont val="Arial"/>
        <family val="2"/>
      </rPr>
      <t>-Düngebedarf nach DüV</t>
    </r>
    <r>
      <rPr>
        <sz val="11"/>
        <color theme="1"/>
        <rFont val="Arial"/>
        <family val="2"/>
      </rPr>
      <t xml:space="preserve"> zu entnehmen. Bei einem Gehalt größer 20 mg/100 g Boden (CAL-Methode) ist im Rahmen der Düngeplanung zu beachten, dass „phosphathaltige Düngemittel höchstens bis in Höhe der voraussichtlichen Phosphatabfuhr ausgebracht werden; im Rahmen der Fruchtfolge kann die voraussichtliche Phosphatabfuhr für einen Zeitraum  von höchstens drei Jahren zu Grunde gelegt werden.“ (§ 3 (6) DüV). Eine Bodenuntersuchung bzgl. Phosphat ist nach DüV § 3 (2) und § 4 (4) Nr. 2 für Schläge ab 1 ha mindestens alle 6 Jahre durchzuführen, wenn mehr als 30 kg Phosphat je ha und Jahr gedüngt werden.</t>
    </r>
  </si>
  <si>
    <t>Bei einem Traubenertrag von 10 t/ha ist mit einer Abfuhr von 10 kg Phosphat/ha zu rechnen.</t>
  </si>
  <si>
    <t>Erscheint bei Reben immer</t>
  </si>
  <si>
    <t>Min Humusgehalt</t>
  </si>
  <si>
    <t>Endergebnis:</t>
  </si>
  <si>
    <t>Liegt der MGO-Gehalt über 25 mg ist der Bedarf automatisch 0 kg/ha</t>
  </si>
  <si>
    <t>mg</t>
  </si>
  <si>
    <t>oberer Grenzwert:</t>
  </si>
  <si>
    <t>Liegt der MGO-Gehalt unter 7 mg ist der Bedarf automatisch 100 kg/ha</t>
  </si>
  <si>
    <t>unterer Grenzwert:</t>
  </si>
  <si>
    <t>m = Mg-gehalt in mg MG/100 g Boden</t>
  </si>
  <si>
    <t>Bedarf laut Formel im Fachkonzept: =90,17+9,6715*m-2,4874*mhoch2+0,1487*mhoch3-0,0028*mhoch4</t>
  </si>
  <si>
    <t>Formelergebnis: 7mg - 28 mg</t>
  </si>
  <si>
    <t>Formelfaktoren</t>
  </si>
  <si>
    <t>Bedarf in kg MGO/ha:</t>
  </si>
  <si>
    <t>Endergebnis: K20)</t>
  </si>
  <si>
    <t>Zwischen-Ergebnis: (Bodenart B)</t>
  </si>
  <si>
    <t>kg K20/ha</t>
  </si>
  <si>
    <t>Liegt der k20-Gehalt über 37 mg ist der Bedarf automatisch 0 kg/ha</t>
  </si>
  <si>
    <t>Liegt der k20-Gehalt unter 7 mg ist der Bedarf automatisch 210 kg/ha</t>
  </si>
  <si>
    <t>K = K-gehalt in mg K20/100 g Boden</t>
  </si>
  <si>
    <t>Bedarf laut Formel im Fachkonzept: =357,07-31,821*k+1,2283*khoch2-0,017*khoch3</t>
  </si>
  <si>
    <r>
      <rPr>
        <b/>
        <sz val="11"/>
        <color theme="1"/>
        <rFont val="Arial"/>
        <family val="2"/>
      </rPr>
      <t>Formel-B</t>
    </r>
    <r>
      <rPr>
        <sz val="11"/>
        <color theme="1"/>
        <rFont val="Arial"/>
        <family val="2"/>
      </rPr>
      <t>) (t'L,tL,LT,,T,Moor)</t>
    </r>
  </si>
  <si>
    <t>K2o (B-Böden)</t>
  </si>
  <si>
    <t>Zwischen-Ergebnis: (Bodenart A)</t>
  </si>
  <si>
    <t>Liegt der k20-Gehalt über 34 mg ist der Bedarf automatisch 0 kg/ha</t>
  </si>
  <si>
    <t>Liegt der k20-Gehalt unter 7 mg ist der Bedarf automatisch 180 kg/ha</t>
  </si>
  <si>
    <t>Bedarf laut Formel im Fachkonzept: =320,83-31,857*k+1,3582*khoch2-0,0203*khoch3</t>
  </si>
  <si>
    <r>
      <rPr>
        <b/>
        <sz val="11"/>
        <color theme="1"/>
        <rFont val="Arial"/>
        <family val="2"/>
      </rPr>
      <t>Formel-A</t>
    </r>
    <r>
      <rPr>
        <sz val="11"/>
        <color theme="1"/>
        <rFont val="Arial"/>
        <family val="2"/>
      </rPr>
      <t>) (S,l'S,Ls,sL,-uL)</t>
    </r>
  </si>
  <si>
    <t>K2o (A-Böden)</t>
  </si>
  <si>
    <t>Tongehaltsstufe (Bodenart)</t>
  </si>
  <si>
    <t>Bodenart Box-Zeile</t>
  </si>
  <si>
    <t>K2o</t>
  </si>
  <si>
    <t>kk?? Info: Nach §3(7) dürfen auf Schläge mit &gt;20 mg /100g Boden Düngemittel bis höchstens der vorauissichtlichen P-Abfuhr ausgebracht werdn: P-Abfuhr wie hoch?</t>
  </si>
  <si>
    <t>Liegt der p205-Gehalt über 28 mg ist der Bedarf automatisch 0 kg/ha</t>
  </si>
  <si>
    <t>Liegt der p205-Gehalt unter 7 mg ist der Bedarf automatisch 100 kg/ha</t>
  </si>
  <si>
    <t>p = P-gehalt in mg P205/100 g Boden</t>
  </si>
  <si>
    <t>Bedarf laut Formel im Fachkonzept: =96,157314-8,828964*p+0,367925*phoch2-0,005799*phoch3</t>
  </si>
  <si>
    <t>Bedarf in kg P2o5/ha:</t>
  </si>
  <si>
    <t>P205</t>
  </si>
  <si>
    <t>REBEN</t>
  </si>
  <si>
    <t>vom Ackerlandschema</t>
  </si>
  <si>
    <t>Gehaltsklassenermittlung nur bei Hopfen abweichend</t>
  </si>
  <si>
    <t>ausgewählte Kultur Hopfen ?</t>
  </si>
  <si>
    <t>ausgewählte Vers.stufe</t>
  </si>
  <si>
    <t>Faktor</t>
  </si>
  <si>
    <t>Plusfaktor</t>
  </si>
  <si>
    <t>Auswahlmatrix</t>
  </si>
  <si>
    <t>(bei der vorne eingegebenen Kultur und Gehaltsklasse)</t>
  </si>
  <si>
    <t>E. bei Grünl.:</t>
  </si>
  <si>
    <t>E. bei Acker</t>
  </si>
  <si>
    <t>rechnerischer Entzug:</t>
  </si>
  <si>
    <t>Hopfen: nur andere Versorgungsstufe ! Sonst wie Acker</t>
  </si>
  <si>
    <t>ggf.Hopfen</t>
  </si>
  <si>
    <t>Acker</t>
  </si>
  <si>
    <t>Basis-kultur</t>
  </si>
  <si>
    <t>keine Zu-/Abschläge, Versorgungsstufe wird z. Zt. nur informell ausgewiesen</t>
  </si>
  <si>
    <t>Ackerland</t>
  </si>
  <si>
    <t>Nährstoff</t>
  </si>
  <si>
    <t>sverweis</t>
  </si>
  <si>
    <t>Ergebnis-Gehaltsklasse:</t>
  </si>
  <si>
    <t>Quelle: LTZ Augustenberg &amp; LA Chemie Hohenheim (Nov. 2009) Phosphorwerte seit Januar 2010 gültig.</t>
  </si>
  <si>
    <t>In Abhängigkeit der Kulturgruppe und der Bodenart wird der Bodengehaltswert einer Bodengehaltsklasse zugeordnet.</t>
  </si>
  <si>
    <t>Code:</t>
  </si>
  <si>
    <t>Code</t>
  </si>
  <si>
    <t>haltbar bis:</t>
  </si>
  <si>
    <t>Grünroggen (FM)</t>
  </si>
  <si>
    <t>Ganzpflanze Weizen (Milch- bis Teigreife, FM)</t>
  </si>
  <si>
    <t>Ganzpflanze Triticale (Milch- bis Teigreife, FM)</t>
  </si>
  <si>
    <t>Ganzpflanze Hafer (Milchreife; FM)</t>
  </si>
  <si>
    <t>Ganzpflanze Sonnenblumen (Zitronenreife; FM)</t>
  </si>
  <si>
    <t xml:space="preserve">Sonnenblumen/Mais (Ganzpflanze; FM) </t>
  </si>
  <si>
    <t>Zuckerhirse (Milch- bis Teigreife der Körner; FM)</t>
  </si>
  <si>
    <t>Sudangras (Teigreife der Körner, 2 Schnitte, FM)</t>
  </si>
  <si>
    <t>Gemeinde:</t>
  </si>
  <si>
    <t>Gemarkung:</t>
  </si>
  <si>
    <t>Dienstbezirk:</t>
  </si>
  <si>
    <r>
      <t>Gemeinde:</t>
    </r>
    <r>
      <rPr>
        <sz val="11"/>
        <color rgb="FFFF0000"/>
        <rFont val="Arial"/>
        <family val="2"/>
      </rPr>
      <t>***</t>
    </r>
  </si>
  <si>
    <r>
      <t>Gemarkung:</t>
    </r>
    <r>
      <rPr>
        <sz val="11"/>
        <color rgb="FFFF0000"/>
        <rFont val="Arial"/>
        <family val="2"/>
      </rPr>
      <t>***</t>
    </r>
  </si>
  <si>
    <t>Düngebedarf</t>
  </si>
  <si>
    <t>(EXCEL-Anwendung, Stand: 06/03/2018)</t>
  </si>
  <si>
    <r>
      <t>organische Düngung</t>
    </r>
    <r>
      <rPr>
        <sz val="11"/>
        <color rgb="FFFF0000"/>
        <rFont val="Arial"/>
        <family val="2"/>
      </rPr>
      <t xml:space="preserve"> im Vorjahr</t>
    </r>
  </si>
  <si>
    <t>Version 1.2</t>
  </si>
  <si>
    <r>
      <t xml:space="preserve">Humusgehalt </t>
    </r>
    <r>
      <rPr>
        <sz val="11"/>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</si>
</sst>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0.00\ _€_-;\-* #,##0.00\ _€_-;_-* &quot;-&quot;??\ _€_-;_-@_-"/>
    <numFmt numFmtId="164" formatCode="0.0"/>
    <numFmt numFmtId="165" formatCode="0\ &quot;kg N/ha&quot;"/>
    <numFmt numFmtId="166" formatCode="#,##0_ ;[Red]\-#,##0\ "/>
    <numFmt numFmtId="167" formatCode="#,##0.00_ ;[Red]\-#,##0.00\ "/>
    <numFmt numFmtId="168" formatCode="#,##0.0"/>
    <numFmt numFmtId="169" formatCode="#,##0.00\ [$€-407];[Red]\-#,##0.00\ [$€-407]"/>
    <numFmt numFmtId="170" formatCode="0.0%"/>
    <numFmt numFmtId="171" formatCode="\+0;\-0"/>
    <numFmt numFmtId="172" formatCode="0\ &quot;kg/ha&quot;"/>
    <numFmt numFmtId="173" formatCode="0.000"/>
    <numFmt numFmtId="174" formatCode="_-* #,##0\ _€_-;\-* #,##0\ _€_-;_-* &quot;-&quot;??\ _€_-;_-@_-"/>
    <numFmt numFmtId="175" formatCode="#;#;#"/>
    <numFmt numFmtId="176" formatCode="0;0;#"/>
    <numFmt numFmtId="177" formatCode=";;"/>
  </numFmts>
  <fonts count="107" x14ac:knownFonts="1">
    <font>
      <sz val="11"/>
      <color theme="1"/>
      <name val="Arial"/>
      <family val="2"/>
    </font>
    <font>
      <sz val="11"/>
      <color rgb="FFFF0000"/>
      <name val="Arial"/>
      <family val="2"/>
    </font>
    <font>
      <b/>
      <sz val="11"/>
      <color theme="1"/>
      <name val="Arial"/>
      <family val="2"/>
    </font>
    <font>
      <b/>
      <sz val="14"/>
      <color theme="1"/>
      <name val="Arial"/>
      <family val="2"/>
    </font>
    <font>
      <i/>
      <sz val="11"/>
      <color theme="1"/>
      <name val="Arial"/>
      <family val="2"/>
    </font>
    <font>
      <i/>
      <sz val="11"/>
      <color rgb="FFFF0000"/>
      <name val="Arial"/>
      <family val="2"/>
    </font>
    <font>
      <sz val="8"/>
      <color theme="1"/>
      <name val="Arial"/>
      <family val="2"/>
    </font>
    <font>
      <b/>
      <i/>
      <sz val="11"/>
      <color theme="1"/>
      <name val="Arial"/>
      <family val="2"/>
    </font>
    <font>
      <i/>
      <sz val="8"/>
      <color theme="1"/>
      <name val="Arial"/>
      <family val="2"/>
    </font>
    <font>
      <i/>
      <sz val="10"/>
      <color rgb="FF000000"/>
      <name val="Arial"/>
      <family val="2"/>
    </font>
    <font>
      <i/>
      <sz val="10"/>
      <color theme="1"/>
      <name val="Arial"/>
      <family val="2"/>
    </font>
    <font>
      <vertAlign val="subscript"/>
      <sz val="11"/>
      <color theme="1"/>
      <name val="Arial"/>
      <family val="2"/>
    </font>
    <font>
      <sz val="11"/>
      <color theme="1"/>
      <name val="Arial"/>
      <family val="2"/>
    </font>
    <font>
      <sz val="10"/>
      <color indexed="8"/>
      <name val="Arial"/>
      <family val="2"/>
    </font>
    <font>
      <strike/>
      <sz val="10"/>
      <color indexed="8"/>
      <name val="Arial"/>
      <family val="2"/>
    </font>
    <font>
      <sz val="10"/>
      <color theme="1"/>
      <name val="Arial"/>
      <family val="2"/>
    </font>
    <font>
      <sz val="10"/>
      <name val="Arial"/>
      <family val="2"/>
    </font>
    <font>
      <b/>
      <sz val="10"/>
      <name val="Arial"/>
      <family val="2"/>
    </font>
    <font>
      <b/>
      <i/>
      <sz val="16"/>
      <color indexed="8"/>
      <name val="Arial"/>
      <family val="2"/>
    </font>
    <font>
      <b/>
      <i/>
      <u/>
      <sz val="11"/>
      <color indexed="8"/>
      <name val="Arial"/>
      <family val="2"/>
    </font>
    <font>
      <sz val="11"/>
      <color indexed="8"/>
      <name val="Arial"/>
      <family val="2"/>
    </font>
    <font>
      <sz val="10"/>
      <color indexed="10"/>
      <name val="Arial"/>
      <family val="2"/>
    </font>
    <font>
      <b/>
      <sz val="9"/>
      <color indexed="81"/>
      <name val="Tahoma"/>
      <family val="2"/>
    </font>
    <font>
      <sz val="9"/>
      <color indexed="81"/>
      <name val="Tahoma"/>
      <family val="2"/>
    </font>
    <font>
      <b/>
      <sz val="10"/>
      <color theme="1"/>
      <name val="Arial"/>
      <family val="2"/>
    </font>
    <font>
      <sz val="10"/>
      <color rgb="FFFF0000"/>
      <name val="Arial"/>
      <family val="2"/>
    </font>
    <font>
      <sz val="10"/>
      <color rgb="FF000000"/>
      <name val="Arial"/>
      <family val="2"/>
    </font>
    <font>
      <b/>
      <sz val="10"/>
      <color indexed="10"/>
      <name val="Arial"/>
      <family val="2"/>
    </font>
    <font>
      <sz val="10"/>
      <color indexed="60"/>
      <name val="Arial"/>
      <family val="2"/>
    </font>
    <font>
      <i/>
      <sz val="10"/>
      <name val="Arial"/>
      <family val="2"/>
    </font>
    <font>
      <sz val="10"/>
      <color indexed="12"/>
      <name val="Arial"/>
      <family val="2"/>
    </font>
    <font>
      <sz val="10"/>
      <name val="MS Sans Serif"/>
      <family val="2"/>
    </font>
    <font>
      <b/>
      <sz val="10"/>
      <color theme="3" tint="0.39997558519241921"/>
      <name val="Arial"/>
      <family val="2"/>
    </font>
    <font>
      <strike/>
      <sz val="10"/>
      <name val="Arial"/>
      <family val="2"/>
    </font>
    <font>
      <u/>
      <sz val="11"/>
      <color theme="10"/>
      <name val="Arial"/>
      <family val="2"/>
    </font>
    <font>
      <sz val="8"/>
      <name val="Arial"/>
      <family val="2"/>
    </font>
    <font>
      <b/>
      <sz val="10"/>
      <color rgb="FFFF0000"/>
      <name val="Arial"/>
      <family val="2"/>
    </font>
    <font>
      <b/>
      <u val="double"/>
      <sz val="10"/>
      <color theme="1"/>
      <name val="Arial"/>
      <family val="2"/>
    </font>
    <font>
      <sz val="9"/>
      <color theme="1"/>
      <name val="Arial"/>
      <family val="2"/>
    </font>
    <font>
      <sz val="11"/>
      <color theme="6" tint="-0.249977111117893"/>
      <name val="Arial"/>
      <family val="2"/>
    </font>
    <font>
      <sz val="11"/>
      <name val="Arial"/>
      <family val="2"/>
    </font>
    <font>
      <vertAlign val="subscript"/>
      <sz val="8"/>
      <color theme="1"/>
      <name val="Arial"/>
      <family val="2"/>
    </font>
    <font>
      <b/>
      <sz val="8"/>
      <color rgb="FFFF0000"/>
      <name val="Arial"/>
      <family val="2"/>
    </font>
    <font>
      <b/>
      <sz val="11"/>
      <color rgb="FFFF0000"/>
      <name val="Arial"/>
      <family val="2"/>
    </font>
    <font>
      <u/>
      <sz val="11"/>
      <color theme="1"/>
      <name val="Arial"/>
      <family val="2"/>
    </font>
    <font>
      <sz val="8"/>
      <color rgb="FFFF0000"/>
      <name val="Arial"/>
      <family val="2"/>
    </font>
    <font>
      <sz val="9"/>
      <color rgb="FFFF0000"/>
      <name val="Arial"/>
      <family val="2"/>
    </font>
    <font>
      <vertAlign val="superscript"/>
      <sz val="11"/>
      <color theme="1"/>
      <name val="Arial"/>
      <family val="2"/>
    </font>
    <font>
      <sz val="10"/>
      <color indexed="16"/>
      <name val="Arial"/>
      <family val="2"/>
    </font>
    <font>
      <sz val="10"/>
      <color indexed="16"/>
      <name val="Arial Narrow"/>
      <family val="2"/>
    </font>
    <font>
      <sz val="8"/>
      <color indexed="81"/>
      <name val="Tahoma"/>
      <family val="2"/>
    </font>
    <font>
      <i/>
      <sz val="11"/>
      <name val="Arial"/>
      <family val="2"/>
    </font>
    <font>
      <b/>
      <vertAlign val="subscript"/>
      <sz val="11"/>
      <color theme="1"/>
      <name val="Arial"/>
      <family val="2"/>
    </font>
    <font>
      <strike/>
      <sz val="11"/>
      <color theme="1"/>
      <name val="Arial"/>
      <family val="2"/>
    </font>
    <font>
      <sz val="11"/>
      <color rgb="FF000000"/>
      <name val="Arial"/>
      <family val="2"/>
    </font>
    <font>
      <i/>
      <sz val="9"/>
      <color theme="1"/>
      <name val="Arial"/>
      <family val="2"/>
    </font>
    <font>
      <b/>
      <i/>
      <sz val="10"/>
      <color rgb="FFFF0000"/>
      <name val="Arial"/>
      <family val="2"/>
    </font>
    <font>
      <strike/>
      <sz val="11"/>
      <color rgb="FFFF0000"/>
      <name val="Arial"/>
      <family val="2"/>
    </font>
    <font>
      <b/>
      <sz val="14"/>
      <color rgb="FFFF0000"/>
      <name val="Arial"/>
      <family val="2"/>
    </font>
    <font>
      <b/>
      <sz val="16"/>
      <color theme="1"/>
      <name val="Arial"/>
      <family val="2"/>
    </font>
    <font>
      <b/>
      <sz val="11"/>
      <name val="Arial"/>
      <family val="2"/>
    </font>
    <font>
      <sz val="10"/>
      <color theme="3" tint="0.39997558519241921"/>
      <name val="Arial"/>
      <family val="2"/>
    </font>
    <font>
      <sz val="8"/>
      <color indexed="8"/>
      <name val="Arial"/>
      <family val="2"/>
    </font>
    <font>
      <i/>
      <sz val="10"/>
      <color rgb="FFFF0000"/>
      <name val="Arial"/>
      <family val="2"/>
    </font>
    <font>
      <sz val="10"/>
      <name val="Arial"/>
      <family val="2"/>
    </font>
    <font>
      <sz val="11"/>
      <color theme="0"/>
      <name val="Arial"/>
      <family val="2"/>
    </font>
    <font>
      <i/>
      <u/>
      <sz val="11"/>
      <color theme="10"/>
      <name val="Arial"/>
      <family val="2"/>
    </font>
    <font>
      <sz val="14"/>
      <color rgb="FFFF0000"/>
      <name val="Arial"/>
      <family val="2"/>
    </font>
    <font>
      <b/>
      <sz val="8"/>
      <color theme="1"/>
      <name val="Arial"/>
      <family val="2"/>
    </font>
    <font>
      <sz val="11"/>
      <color rgb="FF00B050"/>
      <name val="Arial"/>
      <family val="2"/>
    </font>
    <font>
      <sz val="11"/>
      <color theme="1"/>
      <name val="Arial Narrow"/>
      <family val="2"/>
    </font>
    <font>
      <b/>
      <sz val="11"/>
      <color theme="1"/>
      <name val="Arial Narrow"/>
      <family val="2"/>
    </font>
    <font>
      <sz val="8"/>
      <color theme="1"/>
      <name val="Arial Narrow"/>
      <family val="2"/>
    </font>
    <font>
      <sz val="11"/>
      <color theme="3"/>
      <name val="Arial"/>
      <family val="2"/>
    </font>
    <font>
      <strike/>
      <sz val="11"/>
      <name val="Arial"/>
      <family val="2"/>
    </font>
    <font>
      <strike/>
      <sz val="8"/>
      <name val="Arial"/>
      <family val="2"/>
    </font>
    <font>
      <i/>
      <vertAlign val="superscript"/>
      <sz val="11"/>
      <color theme="1"/>
      <name val="Arial"/>
      <family val="2"/>
    </font>
    <font>
      <b/>
      <sz val="8"/>
      <color indexed="81"/>
      <name val="Tahoma"/>
      <family val="2"/>
    </font>
    <font>
      <strike/>
      <sz val="10"/>
      <color indexed="10"/>
      <name val="Cambria"/>
      <family val="1"/>
    </font>
    <font>
      <strike/>
      <sz val="10"/>
      <name val="Cambria"/>
      <family val="1"/>
    </font>
    <font>
      <strike/>
      <sz val="11"/>
      <color theme="1"/>
      <name val="Cambria"/>
      <family val="1"/>
    </font>
    <font>
      <sz val="11"/>
      <color theme="5"/>
      <name val="Arial"/>
      <family val="2"/>
    </font>
    <font>
      <sz val="11"/>
      <color theme="5"/>
      <name val="Arial Narrow"/>
      <family val="2"/>
    </font>
    <font>
      <sz val="12"/>
      <color rgb="FFFF0000"/>
      <name val="Arial"/>
      <family val="2"/>
    </font>
    <font>
      <sz val="9"/>
      <name val="Arial"/>
      <family val="2"/>
    </font>
    <font>
      <strike/>
      <sz val="8"/>
      <color rgb="FFFF0000"/>
      <name val="Arial"/>
      <family val="2"/>
    </font>
    <font>
      <vertAlign val="subscript"/>
      <sz val="11"/>
      <name val="Arial"/>
      <family val="2"/>
    </font>
    <font>
      <vertAlign val="superscript"/>
      <sz val="11"/>
      <name val="Arial"/>
      <family val="2"/>
    </font>
    <font>
      <sz val="11"/>
      <color indexed="12"/>
      <name val="Arial"/>
      <family val="2"/>
    </font>
    <font>
      <vertAlign val="superscript"/>
      <sz val="11"/>
      <color indexed="10"/>
      <name val="Arial"/>
      <family val="2"/>
    </font>
    <font>
      <sz val="9"/>
      <color indexed="10"/>
      <name val="Arial"/>
      <family val="2"/>
    </font>
    <font>
      <sz val="11"/>
      <color indexed="10"/>
      <name val="Arial"/>
      <family val="2"/>
    </font>
    <font>
      <sz val="8"/>
      <color indexed="10"/>
      <name val="Arial"/>
      <family val="2"/>
    </font>
    <font>
      <sz val="10"/>
      <color theme="4"/>
      <name val="Arial"/>
      <family val="2"/>
    </font>
    <font>
      <i/>
      <sz val="10"/>
      <color indexed="12"/>
      <name val="Arial"/>
      <family val="2"/>
    </font>
    <font>
      <sz val="12"/>
      <color indexed="10"/>
      <name val="Arial"/>
      <family val="2"/>
    </font>
    <font>
      <i/>
      <sz val="9"/>
      <color indexed="12"/>
      <name val="Arial"/>
      <family val="2"/>
    </font>
    <font>
      <b/>
      <u/>
      <sz val="11"/>
      <color rgb="FFFF0000"/>
      <name val="Arial"/>
      <family val="2"/>
    </font>
    <font>
      <i/>
      <sz val="10"/>
      <color rgb="FF0000FF"/>
      <name val="Arial"/>
      <family val="2"/>
    </font>
    <font>
      <i/>
      <sz val="9"/>
      <name val="Arial"/>
      <family val="2"/>
    </font>
    <font>
      <sz val="9"/>
      <color rgb="FF0000FF"/>
      <name val="Arial"/>
      <family val="2"/>
    </font>
    <font>
      <i/>
      <sz val="9"/>
      <color rgb="FFFF0000"/>
      <name val="Arial"/>
      <family val="2"/>
    </font>
    <font>
      <u/>
      <sz val="11"/>
      <color rgb="FFFF0000"/>
      <name val="Arial"/>
      <family val="2"/>
    </font>
    <font>
      <b/>
      <sz val="12"/>
      <color rgb="FFFF0000"/>
      <name val="Arial"/>
      <family val="2"/>
    </font>
    <font>
      <sz val="14"/>
      <color theme="1"/>
      <name val="Arial"/>
      <family val="2"/>
    </font>
    <font>
      <i/>
      <sz val="8"/>
      <name val="Arial"/>
      <family val="2"/>
    </font>
    <font>
      <sz val="11"/>
      <color rgb="FF0000FF"/>
      <name val="Arial"/>
      <family val="2"/>
    </font>
  </fonts>
  <fills count="35">
    <fill>
      <patternFill patternType="none"/>
    </fill>
    <fill>
      <patternFill patternType="gray125"/>
    </fill>
    <fill>
      <patternFill patternType="solid">
        <fgColor rgb="FFFFFFCC"/>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rgb="FFFFFF00"/>
        <bgColor indexed="64"/>
      </patternFill>
    </fill>
    <fill>
      <patternFill patternType="solid">
        <fgColor rgb="FFFFC000"/>
        <bgColor indexed="64"/>
      </patternFill>
    </fill>
    <fill>
      <patternFill patternType="solid">
        <fgColor theme="2" tint="-9.9978637043366805E-2"/>
        <bgColor indexed="64"/>
      </patternFill>
    </fill>
    <fill>
      <patternFill patternType="solid">
        <fgColor rgb="FF00B0F0"/>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theme="2"/>
        <bgColor indexed="64"/>
      </patternFill>
    </fill>
    <fill>
      <patternFill patternType="solid">
        <fgColor theme="9" tint="0.59999389629810485"/>
        <bgColor indexed="64"/>
      </patternFill>
    </fill>
    <fill>
      <patternFill patternType="solid">
        <fgColor rgb="FF92D050"/>
        <bgColor indexed="64"/>
      </patternFill>
    </fill>
    <fill>
      <patternFill patternType="solid">
        <fgColor indexed="47"/>
        <bgColor indexed="64"/>
      </patternFill>
    </fill>
    <fill>
      <patternFill patternType="solid">
        <fgColor indexed="44"/>
        <bgColor indexed="64"/>
      </patternFill>
    </fill>
    <fill>
      <patternFill patternType="solid">
        <fgColor indexed="51"/>
        <bgColor indexed="64"/>
      </patternFill>
    </fill>
    <fill>
      <patternFill patternType="solid">
        <fgColor indexed="45"/>
        <bgColor indexed="64"/>
      </patternFill>
    </fill>
    <fill>
      <patternFill patternType="solid">
        <fgColor rgb="FFFF0000"/>
        <bgColor indexed="64"/>
      </patternFill>
    </fill>
    <fill>
      <patternFill patternType="solid">
        <fgColor theme="6" tint="0.39997558519241921"/>
        <bgColor indexed="64"/>
      </patternFill>
    </fill>
    <fill>
      <patternFill patternType="lightUp">
        <bgColor theme="5" tint="0.79998168889431442"/>
      </patternFill>
    </fill>
    <fill>
      <patternFill patternType="lightUp">
        <bgColor theme="6" tint="0.59999389629810485"/>
      </patternFill>
    </fill>
    <fill>
      <patternFill patternType="solid">
        <fgColor theme="3" tint="0.59999389629810485"/>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39997558519241921"/>
        <bgColor indexed="64"/>
      </patternFill>
    </fill>
  </fills>
  <borders count="115">
    <border>
      <left/>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top/>
      <bottom style="thin">
        <color indexed="64"/>
      </bottom>
      <diagonal/>
    </border>
    <border>
      <left style="hair">
        <color auto="1"/>
      </left>
      <right/>
      <top/>
      <bottom/>
      <diagonal/>
    </border>
    <border>
      <left style="hair">
        <color auto="1"/>
      </left>
      <right style="hair">
        <color auto="1"/>
      </right>
      <top style="hair">
        <color auto="1"/>
      </top>
      <bottom style="hair">
        <color auto="1"/>
      </bottom>
      <diagonal/>
    </border>
    <border>
      <left style="thin">
        <color indexed="64"/>
      </left>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hair">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dashed">
        <color indexed="64"/>
      </right>
      <top style="dashed">
        <color indexed="64"/>
      </top>
      <bottom style="dashed">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dashed">
        <color indexed="64"/>
      </right>
      <top style="dotted">
        <color indexed="64"/>
      </top>
      <bottom style="thin">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bottom style="dashed">
        <color indexed="64"/>
      </bottom>
      <diagonal/>
    </border>
    <border>
      <left style="thin">
        <color indexed="64"/>
      </left>
      <right style="medium">
        <color indexed="64"/>
      </right>
      <top style="thin">
        <color indexed="64"/>
      </top>
      <bottom style="thin">
        <color indexed="64"/>
      </bottom>
      <diagonal/>
    </border>
    <border>
      <left style="medium">
        <color indexed="64"/>
      </left>
      <right style="dashed">
        <color indexed="64"/>
      </right>
      <top style="dash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hair">
        <color auto="1"/>
      </left>
      <right style="thin">
        <color indexed="64"/>
      </right>
      <top style="hair">
        <color auto="1"/>
      </top>
      <bottom style="hair">
        <color auto="1"/>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auto="1"/>
      </top>
      <bottom/>
      <diagonal/>
    </border>
    <border>
      <left style="hair">
        <color auto="1"/>
      </left>
      <right/>
      <top style="thin">
        <color auto="1"/>
      </top>
      <bottom/>
      <diagonal/>
    </border>
    <border>
      <left style="hair">
        <color auto="1"/>
      </left>
      <right style="hair">
        <color auto="1"/>
      </right>
      <top style="thin">
        <color auto="1"/>
      </top>
      <bottom/>
      <diagonal/>
    </border>
    <border>
      <left style="hair">
        <color auto="1"/>
      </left>
      <right/>
      <top style="hair">
        <color auto="1"/>
      </top>
      <bottom style="thin">
        <color auto="1"/>
      </bottom>
      <diagonal/>
    </border>
    <border>
      <left/>
      <right/>
      <top style="hair">
        <color auto="1"/>
      </top>
      <bottom style="thin">
        <color auto="1"/>
      </bottom>
      <diagonal/>
    </border>
    <border>
      <left style="hair">
        <color auto="1"/>
      </left>
      <right style="hair">
        <color auto="1"/>
      </right>
      <top style="hair">
        <color auto="1"/>
      </top>
      <bottom style="thin">
        <color auto="1"/>
      </bottom>
      <diagonal/>
    </border>
    <border>
      <left/>
      <right style="hair">
        <color auto="1"/>
      </right>
      <top style="hair">
        <color auto="1"/>
      </top>
      <bottom style="thin">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style="thin">
        <color indexed="64"/>
      </right>
      <top style="thin">
        <color indexed="64"/>
      </top>
      <bottom style="thin">
        <color indexed="64"/>
      </bottom>
      <diagonal/>
    </border>
    <border>
      <left style="hair">
        <color auto="1"/>
      </left>
      <right style="hair">
        <color auto="1"/>
      </right>
      <top/>
      <bottom style="thin">
        <color auto="1"/>
      </bottom>
      <diagonal/>
    </border>
    <border>
      <left style="thin">
        <color auto="1"/>
      </left>
      <right/>
      <top/>
      <bottom/>
      <diagonal/>
    </border>
    <border>
      <left/>
      <right/>
      <top style="thin">
        <color indexed="64"/>
      </top>
      <bottom/>
      <diagonal/>
    </border>
    <border>
      <left style="thin">
        <color auto="1"/>
      </left>
      <right/>
      <top style="hair">
        <color auto="1"/>
      </top>
      <bottom style="hair">
        <color auto="1"/>
      </bottom>
      <diagonal/>
    </border>
    <border>
      <left style="thin">
        <color indexed="64"/>
      </left>
      <right/>
      <top style="thin">
        <color indexed="64"/>
      </top>
      <bottom style="hair">
        <color auto="1"/>
      </bottom>
      <diagonal/>
    </border>
    <border>
      <left style="thin">
        <color indexed="64"/>
      </left>
      <right/>
      <top style="hair">
        <color auto="1"/>
      </top>
      <bottom style="thin">
        <color indexed="64"/>
      </bottom>
      <diagonal/>
    </border>
    <border>
      <left/>
      <right style="hair">
        <color auto="1"/>
      </right>
      <top/>
      <bottom style="thin">
        <color auto="1"/>
      </bottom>
      <diagonal/>
    </border>
    <border>
      <left style="hair">
        <color auto="1"/>
      </left>
      <right/>
      <top style="thin">
        <color auto="1"/>
      </top>
      <bottom/>
      <diagonal/>
    </border>
    <border>
      <left/>
      <right style="hair">
        <color auto="1"/>
      </right>
      <top style="thin">
        <color auto="1"/>
      </top>
      <bottom/>
      <diagonal/>
    </border>
    <border>
      <left style="medium">
        <color indexed="64"/>
      </left>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hair">
        <color auto="1"/>
      </left>
      <right style="hair">
        <color auto="1"/>
      </right>
      <top style="hair">
        <color auto="1"/>
      </top>
      <bottom style="dashDotDot">
        <color auto="1"/>
      </bottom>
      <diagonal/>
    </border>
    <border>
      <left style="thin">
        <color indexed="64"/>
      </left>
      <right/>
      <top style="thin">
        <color indexed="64"/>
      </top>
      <bottom/>
      <diagonal/>
    </border>
    <border>
      <left/>
      <right style="thin">
        <color indexed="64"/>
      </right>
      <top style="thin">
        <color indexed="64"/>
      </top>
      <bottom/>
      <diagonal/>
    </border>
    <border>
      <left style="dotted">
        <color auto="1"/>
      </left>
      <right style="dotted">
        <color auto="1"/>
      </right>
      <top style="dotted">
        <color auto="1"/>
      </top>
      <bottom style="dashed">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thin">
        <color indexed="64"/>
      </right>
      <top style="hair">
        <color auto="1"/>
      </top>
      <bottom/>
      <diagonal/>
    </border>
    <border>
      <left style="thin">
        <color auto="1"/>
      </left>
      <right style="hair">
        <color auto="1"/>
      </right>
      <top/>
      <bottom style="hair">
        <color auto="1"/>
      </bottom>
      <diagonal/>
    </border>
    <border>
      <left style="thin">
        <color auto="1"/>
      </left>
      <right style="hair">
        <color auto="1"/>
      </right>
      <top style="hair">
        <color auto="1"/>
      </top>
      <bottom/>
      <diagonal/>
    </border>
    <border>
      <left style="hair">
        <color auto="1"/>
      </left>
      <right style="thin">
        <color indexed="64"/>
      </right>
      <top/>
      <bottom style="hair">
        <color auto="1"/>
      </bottom>
      <diagonal/>
    </border>
    <border>
      <left style="thin">
        <color auto="1"/>
      </left>
      <right style="hair">
        <color auto="1"/>
      </right>
      <top/>
      <bottom/>
      <diagonal/>
    </border>
    <border>
      <left style="hair">
        <color auto="1"/>
      </left>
      <right style="thin">
        <color indexed="64"/>
      </right>
      <top/>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indexed="64"/>
      </right>
      <top style="thin">
        <color auto="1"/>
      </top>
      <bottom style="thin">
        <color auto="1"/>
      </bottom>
      <diagonal/>
    </border>
    <border>
      <left style="thin">
        <color auto="1"/>
      </left>
      <right/>
      <top style="hair">
        <color auto="1"/>
      </top>
      <bottom/>
      <diagonal/>
    </border>
    <border>
      <left style="thin">
        <color auto="1"/>
      </left>
      <right/>
      <top/>
      <bottom style="hair">
        <color auto="1"/>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dashed">
        <color indexed="64"/>
      </right>
      <top style="dashed">
        <color indexed="64"/>
      </top>
      <bottom style="thin">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thin">
        <color indexed="64"/>
      </top>
      <bottom style="dashed">
        <color indexed="64"/>
      </bottom>
      <diagonal/>
    </border>
    <border>
      <left/>
      <right style="medium">
        <color indexed="64"/>
      </right>
      <top style="medium">
        <color indexed="64"/>
      </top>
      <bottom style="medium">
        <color indexed="64"/>
      </bottom>
      <diagonal/>
    </border>
    <border>
      <left style="dashed">
        <color indexed="64"/>
      </left>
      <right style="dashed">
        <color indexed="64"/>
      </right>
      <top style="medium">
        <color indexed="64"/>
      </top>
      <bottom style="dashed">
        <color indexed="64"/>
      </bottom>
      <diagonal/>
    </border>
  </borders>
  <cellStyleXfs count="48">
    <xf numFmtId="0" fontId="0" fillId="0" borderId="0"/>
    <xf numFmtId="4" fontId="16" fillId="7" borderId="18">
      <alignment vertical="center" shrinkToFit="1"/>
      <protection locked="0"/>
    </xf>
    <xf numFmtId="0" fontId="17" fillId="8" borderId="0"/>
    <xf numFmtId="0" fontId="18" fillId="0" borderId="0">
      <alignment horizontal="center"/>
    </xf>
    <xf numFmtId="0" fontId="18" fillId="0" borderId="0">
      <alignment horizontal="center" textRotation="90"/>
    </xf>
    <xf numFmtId="10" fontId="16" fillId="9" borderId="18">
      <alignment vertical="center" shrinkToFit="1"/>
    </xf>
    <xf numFmtId="166" fontId="16" fillId="9" borderId="18">
      <alignment vertical="center" shrinkToFit="1"/>
    </xf>
    <xf numFmtId="167" fontId="16" fillId="9" borderId="18">
      <alignment vertical="center" shrinkToFit="1"/>
    </xf>
    <xf numFmtId="4" fontId="16" fillId="0" borderId="18">
      <alignment vertical="center"/>
    </xf>
    <xf numFmtId="168" fontId="16" fillId="0" borderId="18">
      <alignment horizontal="center" vertical="center"/>
    </xf>
    <xf numFmtId="1" fontId="16" fillId="0" borderId="18">
      <alignment horizontal="center" vertical="center"/>
    </xf>
    <xf numFmtId="0" fontId="19" fillId="0" borderId="0"/>
    <xf numFmtId="169" fontId="19" fillId="0" borderId="0"/>
    <xf numFmtId="4" fontId="16" fillId="8" borderId="0">
      <alignment vertical="center"/>
    </xf>
    <xf numFmtId="4" fontId="16" fillId="8" borderId="0">
      <alignment vertical="center"/>
    </xf>
    <xf numFmtId="0" fontId="16" fillId="0" borderId="0"/>
    <xf numFmtId="0" fontId="16"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6" fillId="0" borderId="0"/>
    <xf numFmtId="0" fontId="13" fillId="0" borderId="0"/>
    <xf numFmtId="0" fontId="13" fillId="0" borderId="0"/>
    <xf numFmtId="0" fontId="16" fillId="0" borderId="0">
      <alignment horizontal="right" vertical="center"/>
    </xf>
    <xf numFmtId="0" fontId="16" fillId="9" borderId="0"/>
    <xf numFmtId="3" fontId="21" fillId="0" borderId="20">
      <alignment horizontal="center" vertical="center" shrinkToFit="1"/>
    </xf>
    <xf numFmtId="0" fontId="31" fillId="0" borderId="0"/>
    <xf numFmtId="0" fontId="34" fillId="0" borderId="0" applyNumberForma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0" fontId="64" fillId="0" borderId="0"/>
    <xf numFmtId="4" fontId="16" fillId="0" borderId="74">
      <alignment vertical="center"/>
    </xf>
    <xf numFmtId="4" fontId="16" fillId="7" borderId="74">
      <alignment vertical="center" shrinkToFit="1"/>
      <protection locked="0"/>
    </xf>
    <xf numFmtId="168" fontId="16" fillId="0" borderId="74">
      <alignment horizontal="center" vertical="center"/>
    </xf>
    <xf numFmtId="1" fontId="16" fillId="0" borderId="74">
      <alignment horizontal="center" vertical="center"/>
    </xf>
  </cellStyleXfs>
  <cellXfs count="2038">
    <xf numFmtId="0" fontId="0" fillId="0" borderId="0" xfId="0"/>
    <xf numFmtId="0" fontId="0" fillId="0" borderId="2" xfId="0" applyBorder="1"/>
    <xf numFmtId="0" fontId="0" fillId="0" borderId="3" xfId="0" applyBorder="1" applyAlignment="1">
      <alignment horizontal="right"/>
    </xf>
    <xf numFmtId="0" fontId="0" fillId="0" borderId="4" xfId="0" applyBorder="1"/>
    <xf numFmtId="0" fontId="0" fillId="0" borderId="0" xfId="0" applyBorder="1"/>
    <xf numFmtId="0" fontId="0" fillId="0" borderId="5"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2" borderId="0" xfId="0" applyFill="1" applyBorder="1"/>
    <xf numFmtId="0" fontId="0" fillId="0" borderId="12" xfId="0" applyBorder="1"/>
    <xf numFmtId="0" fontId="0" fillId="0" borderId="13" xfId="0" applyBorder="1"/>
    <xf numFmtId="0" fontId="0" fillId="0" borderId="5" xfId="0" applyFill="1" applyBorder="1"/>
    <xf numFmtId="0" fontId="0" fillId="0" borderId="0" xfId="0" applyFill="1" applyBorder="1"/>
    <xf numFmtId="0" fontId="0" fillId="0" borderId="11" xfId="0" applyFill="1" applyBorder="1"/>
    <xf numFmtId="0" fontId="0" fillId="0" borderId="12" xfId="0" applyFill="1" applyBorder="1"/>
    <xf numFmtId="0" fontId="4" fillId="2" borderId="12" xfId="0" applyFont="1" applyFill="1" applyBorder="1" applyAlignment="1">
      <alignment horizontal="left"/>
    </xf>
    <xf numFmtId="0" fontId="0" fillId="2" borderId="13" xfId="0" applyFill="1" applyBorder="1"/>
    <xf numFmtId="0" fontId="0" fillId="0" borderId="14" xfId="0" applyFill="1" applyBorder="1"/>
    <xf numFmtId="0" fontId="4" fillId="2" borderId="6" xfId="0" applyFont="1" applyFill="1" applyBorder="1" applyAlignment="1">
      <alignment horizontal="center"/>
    </xf>
    <xf numFmtId="0" fontId="0" fillId="0" borderId="6" xfId="0" applyBorder="1"/>
    <xf numFmtId="0" fontId="0" fillId="0" borderId="15" xfId="0" applyBorder="1"/>
    <xf numFmtId="0" fontId="0" fillId="0" borderId="1" xfId="0" applyBorder="1"/>
    <xf numFmtId="0" fontId="0" fillId="0" borderId="3" xfId="0" applyBorder="1"/>
    <xf numFmtId="0" fontId="0" fillId="0" borderId="0" xfId="0" applyBorder="1" applyAlignment="1">
      <alignment horizontal="right"/>
    </xf>
    <xf numFmtId="0" fontId="0" fillId="0" borderId="11" xfId="0" applyBorder="1" applyAlignment="1">
      <alignment horizontal="right"/>
    </xf>
    <xf numFmtId="0" fontId="0" fillId="0" borderId="13" xfId="0" applyFill="1" applyBorder="1"/>
    <xf numFmtId="0" fontId="0" fillId="0" borderId="0" xfId="0" applyFont="1" applyBorder="1" applyAlignment="1"/>
    <xf numFmtId="0" fontId="0" fillId="0" borderId="0" xfId="0" applyFont="1" applyFill="1"/>
    <xf numFmtId="0" fontId="0" fillId="0" borderId="14" xfId="0" applyBorder="1"/>
    <xf numFmtId="0" fontId="0" fillId="0" borderId="14" xfId="0" applyFont="1" applyFill="1" applyBorder="1"/>
    <xf numFmtId="0" fontId="0" fillId="0" borderId="0" xfId="0" applyFont="1" applyFill="1" applyBorder="1"/>
    <xf numFmtId="0" fontId="0" fillId="0" borderId="2" xfId="0" applyFont="1" applyFill="1" applyBorder="1"/>
    <xf numFmtId="0" fontId="6" fillId="0" borderId="5" xfId="0" applyFont="1" applyBorder="1"/>
    <xf numFmtId="0" fontId="6" fillId="0" borderId="8" xfId="0" applyFont="1" applyBorder="1"/>
    <xf numFmtId="0" fontId="0" fillId="0" borderId="9" xfId="0" applyFont="1" applyFill="1" applyBorder="1"/>
    <xf numFmtId="0" fontId="0" fillId="0" borderId="1" xfId="0" applyFont="1" applyBorder="1" applyAlignment="1">
      <alignment readingOrder="1"/>
    </xf>
    <xf numFmtId="0" fontId="0" fillId="0" borderId="2" xfId="0" applyFont="1" applyBorder="1" applyAlignment="1">
      <alignment readingOrder="1"/>
    </xf>
    <xf numFmtId="0" fontId="0" fillId="0" borderId="2" xfId="0" applyFont="1" applyBorder="1" applyAlignment="1"/>
    <xf numFmtId="0" fontId="0" fillId="0" borderId="2" xfId="0" applyFont="1" applyBorder="1"/>
    <xf numFmtId="0" fontId="0" fillId="0" borderId="3" xfId="0" applyFont="1" applyBorder="1"/>
    <xf numFmtId="0" fontId="0" fillId="4" borderId="5" xfId="0" applyFont="1" applyFill="1" applyBorder="1" applyAlignment="1">
      <alignment readingOrder="1"/>
    </xf>
    <xf numFmtId="0" fontId="0" fillId="4" borderId="0" xfId="0" applyFont="1" applyFill="1" applyBorder="1" applyAlignment="1">
      <alignment readingOrder="1"/>
    </xf>
    <xf numFmtId="0" fontId="0" fillId="4" borderId="0" xfId="0" applyFont="1" applyFill="1" applyBorder="1"/>
    <xf numFmtId="0" fontId="0" fillId="4" borderId="0" xfId="0" applyFill="1" applyBorder="1"/>
    <xf numFmtId="0" fontId="0" fillId="0" borderId="5" xfId="0" applyFont="1" applyBorder="1" applyAlignment="1">
      <alignment readingOrder="1"/>
    </xf>
    <xf numFmtId="0" fontId="0" fillId="0" borderId="0" xfId="0" applyFont="1" applyBorder="1" applyAlignment="1">
      <alignment readingOrder="1"/>
    </xf>
    <xf numFmtId="0" fontId="0" fillId="0" borderId="0" xfId="0" applyFont="1" applyBorder="1"/>
    <xf numFmtId="0" fontId="0" fillId="0" borderId="11" xfId="0" applyFont="1" applyBorder="1"/>
    <xf numFmtId="0" fontId="10" fillId="0" borderId="11" xfId="0" applyFont="1" applyBorder="1" applyAlignment="1">
      <alignment horizontal="right"/>
    </xf>
    <xf numFmtId="0" fontId="0" fillId="0" borderId="11" xfId="0" applyFont="1" applyBorder="1" applyAlignment="1">
      <alignment horizontal="right"/>
    </xf>
    <xf numFmtId="0" fontId="0" fillId="0" borderId="8" xfId="0" applyFont="1" applyBorder="1" applyAlignment="1">
      <alignment readingOrder="1"/>
    </xf>
    <xf numFmtId="0" fontId="0" fillId="0" borderId="9" xfId="0" applyFont="1" applyBorder="1" applyAlignment="1">
      <alignment readingOrder="1"/>
    </xf>
    <xf numFmtId="0" fontId="0" fillId="0" borderId="9" xfId="0" applyFont="1" applyBorder="1"/>
    <xf numFmtId="0" fontId="0" fillId="0" borderId="10" xfId="0" applyFont="1" applyBorder="1"/>
    <xf numFmtId="0" fontId="0" fillId="0" borderId="5" xfId="0"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Font="1" applyBorder="1" applyAlignment="1">
      <alignment vertical="center"/>
    </xf>
    <xf numFmtId="0" fontId="0" fillId="0" borderId="11" xfId="0" applyBorder="1" applyAlignment="1">
      <alignment vertical="center"/>
    </xf>
    <xf numFmtId="0" fontId="0" fillId="0" borderId="12" xfId="0" applyFont="1" applyBorder="1" applyAlignment="1">
      <alignment readingOrder="1"/>
    </xf>
    <xf numFmtId="0" fontId="0" fillId="0" borderId="14" xfId="0" applyFont="1" applyBorder="1"/>
    <xf numFmtId="0" fontId="4" fillId="0" borderId="1" xfId="0" applyFont="1" applyBorder="1" applyAlignment="1">
      <alignment readingOrder="1"/>
    </xf>
    <xf numFmtId="0" fontId="6" fillId="0" borderId="5" xfId="0" applyFont="1" applyBorder="1" applyAlignment="1">
      <alignment readingOrder="1"/>
    </xf>
    <xf numFmtId="0" fontId="4" fillId="0" borderId="5" xfId="0" applyFont="1" applyBorder="1"/>
    <xf numFmtId="0" fontId="0" fillId="5" borderId="5" xfId="0" applyFont="1" applyFill="1" applyBorder="1" applyAlignment="1">
      <alignment readingOrder="1"/>
    </xf>
    <xf numFmtId="0" fontId="0" fillId="5" borderId="0" xfId="0" applyFont="1" applyFill="1" applyBorder="1" applyAlignment="1">
      <alignment readingOrder="1"/>
    </xf>
    <xf numFmtId="0" fontId="0" fillId="5" borderId="0" xfId="0" applyFont="1" applyFill="1" applyBorder="1"/>
    <xf numFmtId="0" fontId="0" fillId="0" borderId="9" xfId="0" applyBorder="1" applyAlignment="1">
      <alignment vertical="center"/>
    </xf>
    <xf numFmtId="0" fontId="4" fillId="0" borderId="5" xfId="0" applyFont="1" applyBorder="1" applyAlignment="1">
      <alignment readingOrder="1"/>
    </xf>
    <xf numFmtId="0" fontId="0" fillId="5" borderId="0" xfId="0" applyFill="1" applyBorder="1"/>
    <xf numFmtId="0" fontId="0" fillId="0" borderId="0" xfId="0" applyFont="1" applyAlignment="1">
      <alignment readingOrder="1"/>
    </xf>
    <xf numFmtId="0" fontId="0" fillId="0" borderId="0" xfId="0" applyFont="1"/>
    <xf numFmtId="0" fontId="0" fillId="0" borderId="0" xfId="0" applyAlignment="1">
      <alignment horizontal="center"/>
    </xf>
    <xf numFmtId="3" fontId="21" fillId="0" borderId="20" xfId="38">
      <alignment horizontal="center" vertical="center" shrinkToFit="1"/>
    </xf>
    <xf numFmtId="3" fontId="21" fillId="0" borderId="20" xfId="38" applyAlignment="1">
      <alignment horizontal="left" vertical="center" shrinkToFit="1"/>
    </xf>
    <xf numFmtId="4" fontId="21" fillId="0" borderId="20" xfId="38" applyNumberFormat="1" applyAlignment="1">
      <alignment horizontal="left" vertical="center" shrinkToFit="1"/>
    </xf>
    <xf numFmtId="168" fontId="16" fillId="0" borderId="23" xfId="9" applyFont="1" applyBorder="1">
      <alignment horizontal="center" vertical="center"/>
    </xf>
    <xf numFmtId="1" fontId="30" fillId="0" borderId="18" xfId="10" applyFont="1">
      <alignment horizontal="center" vertical="center"/>
    </xf>
    <xf numFmtId="168" fontId="16" fillId="0" borderId="18" xfId="9" applyFont="1">
      <alignment horizontal="center" vertical="center"/>
    </xf>
    <xf numFmtId="3" fontId="21" fillId="0" borderId="20" xfId="38" applyBorder="1">
      <alignment horizontal="center" vertical="center" shrinkToFit="1"/>
    </xf>
    <xf numFmtId="0" fontId="0" fillId="0" borderId="0" xfId="0" applyAlignment="1">
      <alignment horizontal="right"/>
    </xf>
    <xf numFmtId="3" fontId="32" fillId="0" borderId="20" xfId="38" applyFont="1" applyAlignment="1">
      <alignment horizontal="left" vertical="center" shrinkToFit="1"/>
    </xf>
    <xf numFmtId="0" fontId="0" fillId="0" borderId="13" xfId="0" applyBorder="1" applyAlignment="1">
      <alignment horizontal="right"/>
    </xf>
    <xf numFmtId="0" fontId="0" fillId="0" borderId="0" xfId="0" applyBorder="1" applyAlignment="1">
      <alignment horizontal="left"/>
    </xf>
    <xf numFmtId="164" fontId="0" fillId="0" borderId="0" xfId="0" applyNumberFormat="1" applyFill="1" applyBorder="1" applyAlignment="1">
      <alignment horizontal="right"/>
    </xf>
    <xf numFmtId="0" fontId="6" fillId="0" borderId="0" xfId="0" applyFont="1" applyBorder="1"/>
    <xf numFmtId="0" fontId="0" fillId="0" borderId="16" xfId="0" applyBorder="1"/>
    <xf numFmtId="0" fontId="4" fillId="0" borderId="12" xfId="0" applyFont="1" applyBorder="1"/>
    <xf numFmtId="0" fontId="0" fillId="0" borderId="17" xfId="0" applyBorder="1"/>
    <xf numFmtId="0" fontId="4" fillId="0" borderId="1" xfId="0" applyFont="1" applyBorder="1"/>
    <xf numFmtId="0" fontId="4" fillId="0" borderId="8" xfId="0" applyFont="1" applyBorder="1"/>
    <xf numFmtId="0" fontId="8" fillId="0" borderId="5" xfId="0" applyFont="1" applyBorder="1"/>
    <xf numFmtId="0" fontId="8" fillId="0" borderId="8" xfId="0" applyFont="1" applyBorder="1"/>
    <xf numFmtId="0" fontId="6" fillId="0" borderId="8" xfId="0" applyFont="1" applyBorder="1" applyAlignment="1">
      <alignment readingOrder="1"/>
    </xf>
    <xf numFmtId="0" fontId="0" fillId="4" borderId="0" xfId="0" applyFill="1"/>
    <xf numFmtId="0" fontId="40" fillId="0" borderId="0" xfId="0" applyFont="1" applyBorder="1"/>
    <xf numFmtId="0" fontId="2" fillId="0" borderId="0" xfId="0" applyFont="1" applyBorder="1"/>
    <xf numFmtId="0" fontId="0" fillId="0" borderId="5" xfId="0" applyBorder="1" applyAlignment="1">
      <alignment horizontal="right"/>
    </xf>
    <xf numFmtId="0" fontId="34" fillId="0" borderId="0" xfId="40" applyBorder="1"/>
    <xf numFmtId="0" fontId="0" fillId="0" borderId="0" xfId="0" applyFill="1" applyBorder="1" applyAlignment="1">
      <alignment horizontal="right"/>
    </xf>
    <xf numFmtId="0" fontId="2" fillId="0" borderId="12" xfId="0" applyFont="1" applyFill="1" applyBorder="1" applyAlignment="1">
      <alignment vertical="center"/>
    </xf>
    <xf numFmtId="0" fontId="0" fillId="0" borderId="36" xfId="0" applyBorder="1"/>
    <xf numFmtId="165" fontId="2" fillId="5" borderId="0" xfId="0" applyNumberFormat="1" applyFont="1" applyFill="1" applyBorder="1"/>
    <xf numFmtId="0" fontId="1" fillId="0" borderId="0" xfId="0" applyFont="1"/>
    <xf numFmtId="1" fontId="0" fillId="0" borderId="11" xfId="0" applyNumberFormat="1" applyBorder="1"/>
    <xf numFmtId="0" fontId="2" fillId="5" borderId="0" xfId="0" applyFont="1" applyFill="1" applyBorder="1" applyAlignment="1">
      <alignment horizontal="right"/>
    </xf>
    <xf numFmtId="0" fontId="2" fillId="4" borderId="0" xfId="0" applyFont="1" applyFill="1" applyBorder="1" applyAlignment="1">
      <alignment horizontal="right"/>
    </xf>
    <xf numFmtId="0" fontId="4" fillId="0" borderId="0" xfId="0" applyFont="1" applyBorder="1"/>
    <xf numFmtId="0" fontId="2" fillId="0" borderId="11" xfId="0" applyFont="1" applyBorder="1" applyAlignment="1">
      <alignment horizontal="right"/>
    </xf>
    <xf numFmtId="0" fontId="29" fillId="0" borderId="0" xfId="15" applyFont="1" applyAlignment="1">
      <alignment horizontal="center"/>
    </xf>
    <xf numFmtId="1" fontId="29" fillId="0" borderId="18" xfId="10" applyFont="1">
      <alignment horizontal="center" vertical="center"/>
    </xf>
    <xf numFmtId="168" fontId="21" fillId="0" borderId="0" xfId="9" applyFont="1" applyFill="1" applyBorder="1" applyAlignment="1">
      <alignment horizontal="right" vertical="center"/>
    </xf>
    <xf numFmtId="168" fontId="16" fillId="0" borderId="18" xfId="9" applyFont="1" applyBorder="1">
      <alignment horizontal="center" vertical="center"/>
    </xf>
    <xf numFmtId="1" fontId="21" fillId="0" borderId="18" xfId="10" applyFont="1">
      <alignment horizontal="center" vertical="center"/>
    </xf>
    <xf numFmtId="3" fontId="21" fillId="0" borderId="48" xfId="38" applyBorder="1">
      <alignment horizontal="center" vertical="center" shrinkToFit="1"/>
    </xf>
    <xf numFmtId="3" fontId="48" fillId="0" borderId="49" xfId="38" applyFont="1" applyBorder="1">
      <alignment horizontal="center" vertical="center" shrinkToFit="1"/>
    </xf>
    <xf numFmtId="0" fontId="49" fillId="0" borderId="0" xfId="15" applyFont="1" applyBorder="1"/>
    <xf numFmtId="168" fontId="30" fillId="0" borderId="18" xfId="9" applyFont="1" applyBorder="1">
      <alignment horizontal="center" vertical="center"/>
    </xf>
    <xf numFmtId="168" fontId="30" fillId="0" borderId="50" xfId="9" applyFont="1" applyBorder="1">
      <alignment horizontal="center" vertical="center"/>
    </xf>
    <xf numFmtId="4" fontId="48" fillId="0" borderId="18" xfId="8" applyFont="1">
      <alignment vertical="center"/>
    </xf>
    <xf numFmtId="3" fontId="48" fillId="0" borderId="40" xfId="38" applyFont="1" applyBorder="1">
      <alignment horizontal="center" vertical="center" shrinkToFit="1"/>
    </xf>
    <xf numFmtId="3" fontId="48" fillId="0" borderId="51" xfId="38" applyFont="1" applyBorder="1">
      <alignment horizontal="center" vertical="center" shrinkToFit="1"/>
    </xf>
    <xf numFmtId="0" fontId="49" fillId="0" borderId="32" xfId="15" applyFont="1" applyBorder="1"/>
    <xf numFmtId="168" fontId="30" fillId="0" borderId="52" xfId="9" applyFont="1" applyBorder="1">
      <alignment horizontal="center" vertical="center"/>
    </xf>
    <xf numFmtId="168" fontId="30" fillId="0" borderId="53" xfId="9" applyFont="1" applyBorder="1">
      <alignment horizontal="center" vertical="center"/>
    </xf>
    <xf numFmtId="0" fontId="21" fillId="0" borderId="27" xfId="15" applyFont="1" applyBorder="1"/>
    <xf numFmtId="0" fontId="21" fillId="0" borderId="0" xfId="15" applyFont="1" applyBorder="1" applyAlignment="1">
      <alignment horizontal="right"/>
    </xf>
    <xf numFmtId="0" fontId="21" fillId="0" borderId="0" xfId="15" applyFont="1" applyBorder="1" applyAlignment="1">
      <alignment horizontal="left"/>
    </xf>
    <xf numFmtId="164" fontId="21" fillId="0" borderId="0" xfId="15" applyNumberFormat="1" applyFont="1" applyBorder="1" applyAlignment="1">
      <alignment horizontal="left"/>
    </xf>
    <xf numFmtId="0" fontId="21" fillId="0" borderId="32" xfId="15" applyFont="1" applyFill="1" applyBorder="1" applyAlignment="1">
      <alignment horizontal="right"/>
    </xf>
    <xf numFmtId="0" fontId="45" fillId="0" borderId="0" xfId="15" applyFont="1" applyAlignment="1">
      <alignment horizontal="center"/>
    </xf>
    <xf numFmtId="0" fontId="45" fillId="0" borderId="19" xfId="15" applyFont="1" applyBorder="1" applyAlignment="1">
      <alignment horizontal="center"/>
    </xf>
    <xf numFmtId="0" fontId="45" fillId="0" borderId="35" xfId="15" applyFont="1" applyBorder="1" applyAlignment="1">
      <alignment horizontal="center"/>
    </xf>
    <xf numFmtId="0" fontId="45" fillId="0" borderId="7" xfId="15" applyFont="1" applyBorder="1" applyAlignment="1">
      <alignment horizontal="center"/>
    </xf>
    <xf numFmtId="0" fontId="45" fillId="0" borderId="0" xfId="15" applyFont="1" applyBorder="1" applyAlignment="1">
      <alignment horizontal="center"/>
    </xf>
    <xf numFmtId="9" fontId="4" fillId="0" borderId="12" xfId="0" applyNumberFormat="1" applyFont="1" applyBorder="1" applyAlignment="1">
      <alignment readingOrder="1"/>
    </xf>
    <xf numFmtId="170" fontId="4" fillId="0" borderId="12" xfId="41" applyNumberFormat="1" applyFont="1" applyBorder="1" applyAlignment="1">
      <alignment readingOrder="1"/>
    </xf>
    <xf numFmtId="164" fontId="4" fillId="0" borderId="5" xfId="0" applyNumberFormat="1" applyFont="1" applyBorder="1" applyAlignment="1">
      <alignment readingOrder="1"/>
    </xf>
    <xf numFmtId="1" fontId="0" fillId="0" borderId="0" xfId="0" applyNumberFormat="1" applyBorder="1"/>
    <xf numFmtId="0" fontId="1" fillId="0" borderId="0" xfId="0" applyFont="1" applyBorder="1"/>
    <xf numFmtId="0" fontId="2" fillId="0" borderId="6" xfId="0" applyFont="1" applyFill="1" applyBorder="1" applyAlignment="1">
      <alignment vertical="center"/>
    </xf>
    <xf numFmtId="0" fontId="4" fillId="2" borderId="6" xfId="0" applyFont="1" applyFill="1" applyBorder="1" applyAlignment="1">
      <alignment horizontal="left"/>
    </xf>
    <xf numFmtId="0" fontId="0" fillId="2" borderId="6" xfId="0" applyFill="1" applyBorder="1"/>
    <xf numFmtId="0" fontId="0" fillId="0" borderId="6" xfId="0" applyFill="1" applyBorder="1"/>
    <xf numFmtId="0" fontId="0" fillId="0" borderId="14" xfId="0" applyFill="1" applyBorder="1" applyAlignment="1">
      <alignment horizontal="left"/>
    </xf>
    <xf numFmtId="0" fontId="40" fillId="0" borderId="13" xfId="0" applyFont="1" applyBorder="1"/>
    <xf numFmtId="0" fontId="0" fillId="0" borderId="12" xfId="0" applyFont="1" applyBorder="1"/>
    <xf numFmtId="0" fontId="40" fillId="0" borderId="8" xfId="0" applyFont="1" applyBorder="1"/>
    <xf numFmtId="0" fontId="40" fillId="0" borderId="9" xfId="0" applyFont="1" applyBorder="1"/>
    <xf numFmtId="0" fontId="40" fillId="0" borderId="14" xfId="0" applyFont="1" applyBorder="1" applyAlignment="1">
      <alignment horizontal="right"/>
    </xf>
    <xf numFmtId="0" fontId="0" fillId="0" borderId="2" xfId="0" applyFill="1" applyBorder="1"/>
    <xf numFmtId="0" fontId="0" fillId="0" borderId="9" xfId="0" applyFill="1" applyBorder="1"/>
    <xf numFmtId="0" fontId="3" fillId="0" borderId="34" xfId="0" applyFont="1" applyBorder="1"/>
    <xf numFmtId="0" fontId="0" fillId="0" borderId="19" xfId="0" applyBorder="1"/>
    <xf numFmtId="0" fontId="0" fillId="0" borderId="35" xfId="0" applyBorder="1" applyAlignment="1">
      <alignment horizontal="right"/>
    </xf>
    <xf numFmtId="0" fontId="0" fillId="0" borderId="59" xfId="0" applyBorder="1"/>
    <xf numFmtId="0" fontId="0" fillId="0" borderId="60" xfId="0" applyBorder="1"/>
    <xf numFmtId="0" fontId="40" fillId="0" borderId="13" xfId="0" applyFont="1" applyFill="1" applyBorder="1"/>
    <xf numFmtId="14" fontId="40" fillId="0" borderId="57" xfId="0" applyNumberFormat="1" applyFont="1" applyFill="1" applyBorder="1"/>
    <xf numFmtId="0" fontId="7" fillId="0" borderId="5" xfId="0" applyFont="1" applyBorder="1"/>
    <xf numFmtId="0" fontId="0" fillId="0" borderId="61" xfId="0" applyBorder="1"/>
    <xf numFmtId="0" fontId="0" fillId="0" borderId="61" xfId="0" applyFont="1" applyFill="1" applyBorder="1"/>
    <xf numFmtId="0" fontId="0" fillId="0" borderId="64" xfId="0" applyBorder="1"/>
    <xf numFmtId="0" fontId="0" fillId="0" borderId="65" xfId="0" applyBorder="1"/>
    <xf numFmtId="0" fontId="0" fillId="0" borderId="68" xfId="0" applyBorder="1"/>
    <xf numFmtId="0" fontId="4" fillId="0" borderId="68" xfId="0" applyFont="1" applyBorder="1"/>
    <xf numFmtId="0" fontId="0" fillId="0" borderId="4" xfId="0" applyFont="1" applyFill="1" applyBorder="1"/>
    <xf numFmtId="0" fontId="0" fillId="0" borderId="69" xfId="0" applyBorder="1"/>
    <xf numFmtId="0" fontId="0" fillId="0" borderId="70" xfId="0" applyBorder="1"/>
    <xf numFmtId="3" fontId="2" fillId="5" borderId="11" xfId="0" applyNumberFormat="1" applyFont="1" applyFill="1" applyBorder="1"/>
    <xf numFmtId="0" fontId="0" fillId="0" borderId="8" xfId="0" applyFont="1" applyBorder="1" applyAlignment="1">
      <alignment horizontal="right"/>
    </xf>
    <xf numFmtId="0" fontId="0" fillId="0" borderId="62" xfId="0" applyBorder="1"/>
    <xf numFmtId="0" fontId="0" fillId="0" borderId="73" xfId="0" applyBorder="1"/>
    <xf numFmtId="165" fontId="2" fillId="4" borderId="11" xfId="0" applyNumberFormat="1" applyFont="1" applyFill="1" applyBorder="1"/>
    <xf numFmtId="0" fontId="6" fillId="0" borderId="11" xfId="0" applyFont="1" applyBorder="1" applyAlignment="1">
      <alignment horizontal="right"/>
    </xf>
    <xf numFmtId="0" fontId="1" fillId="0" borderId="73" xfId="0" applyFont="1" applyBorder="1" applyAlignment="1">
      <alignment horizontal="right"/>
    </xf>
    <xf numFmtId="0" fontId="0" fillId="0" borderId="10" xfId="0" applyBorder="1" applyAlignment="1">
      <alignment horizontal="right"/>
    </xf>
    <xf numFmtId="1" fontId="0" fillId="0" borderId="11" xfId="0" applyNumberFormat="1" applyBorder="1" applyAlignment="1">
      <alignment horizontal="right"/>
    </xf>
    <xf numFmtId="1" fontId="4" fillId="0" borderId="69" xfId="0" applyNumberFormat="1" applyFont="1" applyBorder="1" applyAlignment="1">
      <alignment horizontal="left"/>
    </xf>
    <xf numFmtId="0" fontId="2" fillId="5" borderId="0" xfId="0" applyFont="1" applyFill="1" applyBorder="1"/>
    <xf numFmtId="0" fontId="2" fillId="0" borderId="0" xfId="0" applyFont="1" applyFill="1" applyBorder="1" applyAlignment="1">
      <alignment horizontal="right"/>
    </xf>
    <xf numFmtId="0" fontId="0" fillId="5" borderId="11" xfId="0" applyFont="1" applyFill="1" applyBorder="1"/>
    <xf numFmtId="0" fontId="2" fillId="0" borderId="0" xfId="0" applyFont="1" applyAlignment="1">
      <alignment vertical="center"/>
    </xf>
    <xf numFmtId="0" fontId="0" fillId="0" borderId="76" xfId="0" applyBorder="1"/>
    <xf numFmtId="0" fontId="3" fillId="0" borderId="72" xfId="0" applyFont="1" applyBorder="1"/>
    <xf numFmtId="0" fontId="0" fillId="0" borderId="77" xfId="0" applyBorder="1"/>
    <xf numFmtId="0" fontId="0" fillId="0" borderId="0" xfId="0" applyAlignment="1">
      <alignment horizontal="left"/>
    </xf>
    <xf numFmtId="0" fontId="0" fillId="4" borderId="4" xfId="0" applyFill="1" applyBorder="1"/>
    <xf numFmtId="4" fontId="2" fillId="5" borderId="11" xfId="0" applyNumberFormat="1" applyFont="1" applyFill="1" applyBorder="1"/>
    <xf numFmtId="0" fontId="2" fillId="0" borderId="14" xfId="0" applyFont="1" applyFill="1" applyBorder="1"/>
    <xf numFmtId="0" fontId="40" fillId="0" borderId="14" xfId="0" applyFont="1" applyFill="1" applyBorder="1"/>
    <xf numFmtId="0" fontId="4" fillId="0" borderId="14" xfId="0" applyFont="1" applyFill="1" applyBorder="1"/>
    <xf numFmtId="1" fontId="0" fillId="0" borderId="14" xfId="0" applyNumberFormat="1" applyFill="1" applyBorder="1"/>
    <xf numFmtId="0" fontId="5" fillId="0" borderId="5" xfId="0" applyFont="1" applyBorder="1"/>
    <xf numFmtId="0" fontId="45" fillId="0" borderId="0" xfId="0" applyFont="1"/>
    <xf numFmtId="0" fontId="0" fillId="0" borderId="0" xfId="0" applyAlignment="1">
      <alignment horizontal="center" vertical="center"/>
    </xf>
    <xf numFmtId="0" fontId="0" fillId="0" borderId="0" xfId="0" applyAlignment="1">
      <alignment horizontal="left" vertical="center"/>
    </xf>
    <xf numFmtId="0" fontId="0" fillId="0" borderId="20" xfId="0" applyBorder="1"/>
    <xf numFmtId="3" fontId="27" fillId="0" borderId="20" xfId="38" applyFont="1" applyAlignment="1">
      <alignment horizontal="left" vertical="center" shrinkToFit="1"/>
    </xf>
    <xf numFmtId="3" fontId="27" fillId="0" borderId="20" xfId="38" applyFont="1" applyAlignment="1">
      <alignment horizontal="left" vertical="center"/>
    </xf>
    <xf numFmtId="0" fontId="21" fillId="0" borderId="20" xfId="41" applyNumberFormat="1" applyFont="1" applyBorder="1" applyAlignment="1">
      <alignment horizontal="left" vertical="center" shrinkToFit="1"/>
    </xf>
    <xf numFmtId="2" fontId="21" fillId="0" borderId="20" xfId="41" applyNumberFormat="1" applyFont="1" applyBorder="1" applyAlignment="1">
      <alignment horizontal="left" vertical="center" shrinkToFit="1"/>
    </xf>
    <xf numFmtId="3" fontId="61" fillId="0" borderId="20" xfId="38" applyFont="1" applyAlignment="1">
      <alignment horizontal="left" vertical="center" shrinkToFit="1"/>
    </xf>
    <xf numFmtId="3" fontId="25" fillId="0" borderId="20" xfId="38" applyFont="1" applyAlignment="1">
      <alignment horizontal="left" vertical="center" shrinkToFit="1"/>
    </xf>
    <xf numFmtId="0" fontId="0" fillId="0" borderId="77" xfId="0" applyBorder="1" applyAlignment="1">
      <alignment vertical="center"/>
    </xf>
    <xf numFmtId="0" fontId="0" fillId="0" borderId="35" xfId="0" applyBorder="1" applyAlignment="1">
      <alignment vertical="center"/>
    </xf>
    <xf numFmtId="0" fontId="0" fillId="0" borderId="76" xfId="0" applyBorder="1" applyAlignment="1">
      <alignment vertical="center"/>
    </xf>
    <xf numFmtId="0" fontId="2" fillId="0" borderId="0" xfId="0" applyFont="1" applyBorder="1" applyAlignment="1">
      <alignment vertical="center"/>
    </xf>
    <xf numFmtId="0" fontId="0" fillId="0" borderId="38" xfId="0" applyBorder="1" applyAlignment="1">
      <alignment vertical="center"/>
    </xf>
    <xf numFmtId="0" fontId="0" fillId="0" borderId="36" xfId="0" applyBorder="1" applyAlignment="1">
      <alignment vertical="center"/>
    </xf>
    <xf numFmtId="0" fontId="2" fillId="0" borderId="4" xfId="0" applyFont="1" applyBorder="1" applyAlignment="1">
      <alignment vertical="center"/>
    </xf>
    <xf numFmtId="0" fontId="0" fillId="0" borderId="4" xfId="0" applyBorder="1" applyAlignment="1">
      <alignment vertical="center"/>
    </xf>
    <xf numFmtId="0" fontId="0" fillId="0" borderId="37" xfId="0" applyBorder="1" applyAlignment="1">
      <alignment vertical="center"/>
    </xf>
    <xf numFmtId="0" fontId="0" fillId="10" borderId="0" xfId="0"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36" xfId="0" applyFont="1" applyBorder="1" applyAlignment="1">
      <alignment vertical="center"/>
    </xf>
    <xf numFmtId="0" fontId="0" fillId="0" borderId="42" xfId="0" applyBorder="1" applyAlignment="1">
      <alignment vertical="center"/>
    </xf>
    <xf numFmtId="0" fontId="1" fillId="0" borderId="0" xfId="0" applyFont="1" applyAlignment="1">
      <alignment vertical="center"/>
    </xf>
    <xf numFmtId="3" fontId="27" fillId="0" borderId="20" xfId="38" applyFont="1" applyAlignment="1">
      <alignment horizontal="center" vertical="center" shrinkToFit="1"/>
    </xf>
    <xf numFmtId="3" fontId="32" fillId="0" borderId="20" xfId="38" applyFont="1" applyAlignment="1">
      <alignment horizontal="center" vertical="center" shrinkToFit="1"/>
    </xf>
    <xf numFmtId="1" fontId="2" fillId="5" borderId="11" xfId="0" applyNumberFormat="1" applyFont="1" applyFill="1" applyBorder="1"/>
    <xf numFmtId="0" fontId="46" fillId="0" borderId="0" xfId="0" applyFont="1" applyAlignment="1">
      <alignment horizontal="center" vertical="center"/>
    </xf>
    <xf numFmtId="0" fontId="4" fillId="0" borderId="9" xfId="0" applyFont="1" applyFill="1" applyBorder="1"/>
    <xf numFmtId="0" fontId="4" fillId="0" borderId="0" xfId="0" applyFont="1" applyFill="1" applyBorder="1"/>
    <xf numFmtId="0" fontId="4" fillId="0" borderId="2" xfId="0" applyFont="1" applyFill="1" applyBorder="1"/>
    <xf numFmtId="0" fontId="4" fillId="0" borderId="4" xfId="0" applyFont="1" applyFill="1" applyBorder="1"/>
    <xf numFmtId="0" fontId="0" fillId="0" borderId="81" xfId="0" applyBorder="1"/>
    <xf numFmtId="0" fontId="6" fillId="0" borderId="68" xfId="0" applyFont="1" applyBorder="1"/>
    <xf numFmtId="0" fontId="0" fillId="0" borderId="8" xfId="0" applyBorder="1" applyAlignment="1">
      <alignment vertical="center"/>
    </xf>
    <xf numFmtId="0" fontId="4" fillId="0" borderId="8" xfId="0" applyFont="1" applyBorder="1" applyAlignment="1">
      <alignment vertical="center"/>
    </xf>
    <xf numFmtId="0" fontId="4" fillId="0" borderId="9" xfId="0" applyFont="1" applyFill="1" applyBorder="1" applyAlignment="1">
      <alignment vertical="center"/>
    </xf>
    <xf numFmtId="0" fontId="0" fillId="0" borderId="5" xfId="0" applyFont="1" applyBorder="1" applyAlignment="1">
      <alignment horizontal="right"/>
    </xf>
    <xf numFmtId="0" fontId="4" fillId="0" borderId="3" xfId="0" applyFont="1" applyFill="1" applyBorder="1"/>
    <xf numFmtId="0" fontId="0" fillId="0" borderId="1" xfId="0" applyFont="1" applyBorder="1" applyAlignment="1">
      <alignment vertical="center"/>
    </xf>
    <xf numFmtId="0" fontId="0" fillId="0" borderId="2" xfId="0" applyBorder="1" applyAlignment="1">
      <alignment vertical="center"/>
    </xf>
    <xf numFmtId="0" fontId="4" fillId="0" borderId="1" xfId="0" applyFont="1" applyBorder="1" applyAlignment="1">
      <alignment vertical="center"/>
    </xf>
    <xf numFmtId="0" fontId="0" fillId="0" borderId="68" xfId="0" applyFont="1" applyBorder="1" applyAlignment="1">
      <alignment readingOrder="1"/>
    </xf>
    <xf numFmtId="0" fontId="0" fillId="0" borderId="4" xfId="0" applyFont="1" applyBorder="1"/>
    <xf numFmtId="0" fontId="4" fillId="0" borderId="68" xfId="0" applyFont="1" applyBorder="1" applyAlignment="1">
      <alignment readingOrder="1"/>
    </xf>
    <xf numFmtId="0" fontId="0" fillId="0" borderId="81" xfId="0" applyFont="1" applyBorder="1"/>
    <xf numFmtId="0" fontId="0" fillId="5" borderId="5" xfId="0" applyFont="1" applyFill="1" applyBorder="1" applyAlignment="1">
      <alignment vertical="center"/>
    </xf>
    <xf numFmtId="0" fontId="0" fillId="5" borderId="0" xfId="0" applyFont="1" applyFill="1" applyBorder="1" applyAlignment="1">
      <alignment vertical="center"/>
    </xf>
    <xf numFmtId="0" fontId="2" fillId="5" borderId="0" xfId="0" applyFont="1" applyFill="1" applyBorder="1" applyAlignment="1">
      <alignment horizontal="right" vertical="center"/>
    </xf>
    <xf numFmtId="172" fontId="2" fillId="5" borderId="0" xfId="0" applyNumberFormat="1" applyFont="1" applyFill="1" applyBorder="1" applyAlignment="1">
      <alignment vertical="center"/>
    </xf>
    <xf numFmtId="172" fontId="2" fillId="5" borderId="11" xfId="0" applyNumberFormat="1" applyFont="1" applyFill="1" applyBorder="1" applyAlignment="1">
      <alignment vertical="center"/>
    </xf>
    <xf numFmtId="0" fontId="0" fillId="4" borderId="5" xfId="0" applyFont="1" applyFill="1" applyBorder="1" applyAlignment="1">
      <alignment vertical="center"/>
    </xf>
    <xf numFmtId="0" fontId="0" fillId="4" borderId="0" xfId="0" applyFont="1" applyFill="1" applyBorder="1" applyAlignment="1">
      <alignment vertical="center"/>
    </xf>
    <xf numFmtId="0" fontId="2" fillId="4" borderId="0" xfId="0" applyFont="1" applyFill="1" applyBorder="1" applyAlignment="1">
      <alignment horizontal="right" vertical="center"/>
    </xf>
    <xf numFmtId="172" fontId="2" fillId="4" borderId="0" xfId="0" applyNumberFormat="1" applyFont="1" applyFill="1" applyBorder="1" applyAlignment="1">
      <alignment vertical="center"/>
    </xf>
    <xf numFmtId="0" fontId="0" fillId="4" borderId="11" xfId="0" applyFont="1" applyFill="1" applyBorder="1" applyAlignment="1">
      <alignment vertical="center"/>
    </xf>
    <xf numFmtId="0" fontId="0" fillId="0" borderId="9" xfId="0" applyFont="1" applyFill="1" applyBorder="1" applyAlignment="1">
      <alignment vertical="center"/>
    </xf>
    <xf numFmtId="0" fontId="4" fillId="0" borderId="8" xfId="0" applyFont="1" applyBorder="1" applyAlignment="1">
      <alignment readingOrder="1"/>
    </xf>
    <xf numFmtId="0" fontId="4" fillId="0" borderId="9" xfId="0" applyFont="1" applyBorder="1" applyAlignment="1">
      <alignment readingOrder="1"/>
    </xf>
    <xf numFmtId="0" fontId="4" fillId="0" borderId="9" xfId="0" applyFont="1" applyBorder="1"/>
    <xf numFmtId="0" fontId="4" fillId="0" borderId="0" xfId="0" applyFont="1" applyBorder="1" applyAlignment="1">
      <alignment readingOrder="1"/>
    </xf>
    <xf numFmtId="0" fontId="7" fillId="0" borderId="8" xfId="0" applyFont="1" applyBorder="1" applyAlignment="1">
      <alignment readingOrder="1"/>
    </xf>
    <xf numFmtId="0" fontId="63" fillId="0" borderId="10" xfId="0" applyFont="1" applyBorder="1" applyAlignment="1">
      <alignment horizontal="right" vertical="center" readingOrder="1"/>
    </xf>
    <xf numFmtId="0" fontId="0" fillId="0" borderId="10" xfId="0" applyBorder="1" applyAlignment="1">
      <alignment horizontal="right" vertical="center"/>
    </xf>
    <xf numFmtId="0" fontId="0" fillId="0" borderId="81" xfId="0" applyFill="1" applyBorder="1"/>
    <xf numFmtId="0" fontId="0" fillId="0" borderId="3" xfId="0" applyFill="1" applyBorder="1"/>
    <xf numFmtId="170" fontId="4" fillId="0" borderId="12" xfId="41" applyNumberFormat="1" applyFont="1" applyBorder="1" applyAlignment="1">
      <alignment horizontal="left"/>
    </xf>
    <xf numFmtId="0" fontId="4" fillId="0" borderId="2" xfId="0" applyFont="1" applyBorder="1"/>
    <xf numFmtId="0" fontId="0" fillId="0" borderId="81" xfId="0" applyBorder="1" applyAlignment="1">
      <alignment horizontal="right"/>
    </xf>
    <xf numFmtId="0" fontId="4" fillId="0" borderId="10" xfId="0" applyFont="1" applyBorder="1"/>
    <xf numFmtId="0" fontId="4" fillId="0" borderId="11" xfId="0" applyFont="1" applyBorder="1"/>
    <xf numFmtId="0" fontId="4" fillId="0" borderId="2" xfId="0" applyFont="1" applyBorder="1" applyAlignment="1">
      <alignment readingOrder="1"/>
    </xf>
    <xf numFmtId="0" fontId="4" fillId="0" borderId="3" xfId="0" applyFont="1" applyBorder="1"/>
    <xf numFmtId="0" fontId="63" fillId="0" borderId="10" xfId="0" applyFont="1" applyBorder="1" applyAlignment="1">
      <alignment horizontal="right"/>
    </xf>
    <xf numFmtId="0" fontId="0" fillId="0" borderId="5" xfId="0" applyFont="1" applyBorder="1" applyAlignment="1">
      <alignment vertical="center"/>
    </xf>
    <xf numFmtId="0" fontId="4" fillId="0" borderId="5" xfId="0" applyFont="1" applyBorder="1" applyAlignment="1">
      <alignment vertical="center"/>
    </xf>
    <xf numFmtId="0" fontId="0" fillId="0" borderId="64" xfId="0" applyFont="1" applyBorder="1" applyAlignment="1">
      <alignment vertical="center"/>
    </xf>
    <xf numFmtId="0" fontId="0" fillId="0" borderId="65" xfId="0" applyBorder="1" applyAlignment="1">
      <alignment vertical="center"/>
    </xf>
    <xf numFmtId="0" fontId="0" fillId="0" borderId="65" xfId="0" applyFont="1" applyBorder="1" applyAlignment="1">
      <alignment vertical="center"/>
    </xf>
    <xf numFmtId="0" fontId="4" fillId="0" borderId="64" xfId="0" applyFont="1" applyBorder="1" applyAlignment="1">
      <alignment vertical="center"/>
    </xf>
    <xf numFmtId="1" fontId="4" fillId="0" borderId="8" xfId="0" applyNumberFormat="1" applyFont="1" applyBorder="1" applyAlignment="1">
      <alignment horizontal="left" readingOrder="1"/>
    </xf>
    <xf numFmtId="0" fontId="0" fillId="0" borderId="68" xfId="0" applyFont="1" applyBorder="1" applyAlignment="1">
      <alignment vertical="center" readingOrder="1"/>
    </xf>
    <xf numFmtId="0" fontId="0" fillId="0" borderId="4" xfId="0" applyFont="1" applyBorder="1" applyAlignment="1">
      <alignment vertical="center"/>
    </xf>
    <xf numFmtId="0" fontId="7" fillId="0" borderId="68" xfId="0" applyFont="1" applyBorder="1" applyAlignment="1">
      <alignment vertical="center" readingOrder="1"/>
    </xf>
    <xf numFmtId="0" fontId="4" fillId="0" borderId="8" xfId="0" applyFont="1" applyBorder="1" applyAlignment="1">
      <alignment horizontal="left" readingOrder="1"/>
    </xf>
    <xf numFmtId="0" fontId="6" fillId="0" borderId="2" xfId="0" applyFont="1" applyBorder="1"/>
    <xf numFmtId="172" fontId="2" fillId="4" borderId="11" xfId="0" applyNumberFormat="1" applyFont="1" applyFill="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6" fillId="0" borderId="82" xfId="0" applyFont="1" applyBorder="1"/>
    <xf numFmtId="0" fontId="6" fillId="0" borderId="16" xfId="0" applyFont="1" applyBorder="1" applyAlignment="1">
      <alignment horizontal="right" vertical="center"/>
    </xf>
    <xf numFmtId="0" fontId="4" fillId="0" borderId="69" xfId="0" applyFont="1" applyBorder="1" applyAlignment="1">
      <alignment horizontal="left"/>
    </xf>
    <xf numFmtId="0" fontId="4" fillId="0" borderId="70" xfId="0" applyFont="1" applyFill="1" applyBorder="1"/>
    <xf numFmtId="0" fontId="4" fillId="0" borderId="71" xfId="0" applyFont="1" applyBorder="1"/>
    <xf numFmtId="0" fontId="4" fillId="0" borderId="13" xfId="0" applyFont="1" applyBorder="1"/>
    <xf numFmtId="0" fontId="4" fillId="0" borderId="81" xfId="0" applyFont="1" applyBorder="1"/>
    <xf numFmtId="0" fontId="55" fillId="0" borderId="8" xfId="0" applyFont="1" applyBorder="1"/>
    <xf numFmtId="9" fontId="4" fillId="0" borderId="64" xfId="0" applyNumberFormat="1" applyFont="1" applyBorder="1" applyAlignment="1">
      <alignment horizontal="left"/>
    </xf>
    <xf numFmtId="0" fontId="4" fillId="0" borderId="65" xfId="0" applyFont="1" applyFill="1" applyBorder="1"/>
    <xf numFmtId="0" fontId="4" fillId="0" borderId="67" xfId="0" applyFont="1" applyBorder="1"/>
    <xf numFmtId="0" fontId="4" fillId="0" borderId="81" xfId="0" applyFont="1" applyBorder="1" applyAlignment="1">
      <alignment vertical="center"/>
    </xf>
    <xf numFmtId="0" fontId="4" fillId="0" borderId="67" xfId="0" applyFont="1" applyBorder="1" applyAlignment="1">
      <alignment vertical="center"/>
    </xf>
    <xf numFmtId="0" fontId="40" fillId="0" borderId="12" xfId="0" applyFont="1" applyFill="1" applyBorder="1" applyAlignment="1">
      <alignment horizontal="left"/>
    </xf>
    <xf numFmtId="0" fontId="0" fillId="4" borderId="0" xfId="0" applyFill="1" applyAlignment="1">
      <alignment vertical="center"/>
    </xf>
    <xf numFmtId="174" fontId="0" fillId="0" borderId="0" xfId="42" applyNumberFormat="1" applyFont="1"/>
    <xf numFmtId="0" fontId="55" fillId="0" borderId="5" xfId="0" applyFont="1" applyBorder="1"/>
    <xf numFmtId="170" fontId="4" fillId="2" borderId="6" xfId="0" applyNumberFormat="1"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39" fillId="0" borderId="0" xfId="0" applyFont="1" applyBorder="1" applyAlignment="1">
      <alignment horizontal="center"/>
    </xf>
    <xf numFmtId="0" fontId="0" fillId="0" borderId="28" xfId="0" applyBorder="1"/>
    <xf numFmtId="0" fontId="0" fillId="0" borderId="29" xfId="0" applyBorder="1"/>
    <xf numFmtId="3" fontId="21" fillId="0" borderId="40" xfId="38" applyBorder="1">
      <alignment horizontal="center" vertical="center" shrinkToFit="1"/>
    </xf>
    <xf numFmtId="3" fontId="21" fillId="0" borderId="84" xfId="38" applyBorder="1" applyProtection="1">
      <alignment horizontal="center" vertical="center" shrinkToFit="1"/>
      <protection locked="0"/>
    </xf>
    <xf numFmtId="3" fontId="21" fillId="0" borderId="48" xfId="38" applyBorder="1" applyProtection="1">
      <alignment horizontal="center" vertical="center" shrinkToFit="1"/>
      <protection locked="0"/>
    </xf>
    <xf numFmtId="0" fontId="0" fillId="0" borderId="28" xfId="0" applyBorder="1" applyAlignment="1">
      <alignment vertical="center"/>
    </xf>
    <xf numFmtId="0" fontId="0" fillId="0" borderId="29" xfId="0" applyBorder="1" applyAlignment="1">
      <alignment vertical="center"/>
    </xf>
    <xf numFmtId="0" fontId="0" fillId="0" borderId="31" xfId="0" applyBorder="1"/>
    <xf numFmtId="0" fontId="0" fillId="0" borderId="33" xfId="0" applyBorder="1"/>
    <xf numFmtId="0" fontId="2" fillId="0" borderId="26" xfId="0" applyFont="1" applyBorder="1"/>
    <xf numFmtId="0" fontId="2" fillId="0" borderId="30" xfId="0" applyFont="1" applyBorder="1"/>
    <xf numFmtId="0" fontId="2" fillId="0" borderId="28" xfId="0" applyFont="1" applyBorder="1"/>
    <xf numFmtId="0" fontId="2" fillId="0" borderId="29" xfId="0" applyFont="1" applyBorder="1"/>
    <xf numFmtId="0" fontId="0" fillId="2" borderId="0" xfId="0" applyFill="1" applyBorder="1" applyProtection="1"/>
    <xf numFmtId="0" fontId="1" fillId="0" borderId="28" xfId="0" applyFont="1" applyBorder="1" applyAlignment="1">
      <alignment horizontal="right"/>
    </xf>
    <xf numFmtId="0" fontId="1" fillId="0" borderId="29" xfId="0" applyFont="1" applyBorder="1" applyAlignment="1">
      <alignment horizontal="right"/>
    </xf>
    <xf numFmtId="3" fontId="21" fillId="0" borderId="40" xfId="38" applyBorder="1" applyProtection="1">
      <alignment horizontal="center" vertical="center" shrinkToFit="1"/>
      <protection locked="0"/>
    </xf>
    <xf numFmtId="0" fontId="4" fillId="2" borderId="6" xfId="0" applyFont="1" applyFill="1" applyBorder="1" applyAlignment="1" applyProtection="1">
      <alignment horizontal="right"/>
      <protection locked="0"/>
    </xf>
    <xf numFmtId="0" fontId="25" fillId="0" borderId="0" xfId="15" applyFont="1"/>
    <xf numFmtId="0" fontId="40" fillId="0" borderId="2" xfId="0" applyFont="1" applyBorder="1"/>
    <xf numFmtId="0" fontId="40" fillId="0" borderId="3" xfId="0" applyFont="1" applyBorder="1"/>
    <xf numFmtId="164" fontId="51" fillId="2" borderId="6" xfId="0" applyNumberFormat="1" applyFont="1" applyFill="1" applyBorder="1" applyAlignment="1" applyProtection="1">
      <alignment horizontal="right"/>
      <protection locked="0"/>
    </xf>
    <xf numFmtId="164" fontId="51" fillId="2" borderId="16" xfId="0" applyNumberFormat="1" applyFont="1" applyFill="1" applyBorder="1" applyAlignment="1" applyProtection="1">
      <alignment horizontal="right"/>
      <protection locked="0"/>
    </xf>
    <xf numFmtId="0" fontId="4" fillId="2" borderId="5" xfId="0" applyFont="1" applyFill="1" applyBorder="1" applyProtection="1"/>
    <xf numFmtId="0" fontId="0" fillId="24" borderId="5" xfId="0" applyFill="1" applyBorder="1"/>
    <xf numFmtId="0" fontId="0" fillId="24" borderId="0" xfId="0" applyFill="1" applyBorder="1"/>
    <xf numFmtId="0" fontId="0" fillId="24" borderId="11" xfId="0" applyFill="1" applyBorder="1"/>
    <xf numFmtId="0" fontId="0" fillId="24" borderId="5" xfId="0" applyFill="1" applyBorder="1" applyAlignment="1">
      <alignment vertical="center"/>
    </xf>
    <xf numFmtId="0" fontId="0" fillId="24" borderId="0" xfId="0" applyFill="1" applyBorder="1" applyAlignment="1">
      <alignment vertical="center"/>
    </xf>
    <xf numFmtId="0" fontId="0" fillId="24" borderId="11" xfId="0" applyFill="1" applyBorder="1" applyAlignment="1">
      <alignment vertical="center"/>
    </xf>
    <xf numFmtId="0" fontId="0" fillId="0" borderId="71" xfId="0" applyBorder="1"/>
    <xf numFmtId="0" fontId="0" fillId="0" borderId="8" xfId="0" applyFill="1" applyBorder="1"/>
    <xf numFmtId="0" fontId="2" fillId="24" borderId="5" xfId="0" applyFont="1" applyFill="1" applyBorder="1"/>
    <xf numFmtId="0" fontId="0" fillId="24" borderId="0" xfId="0" applyFill="1"/>
    <xf numFmtId="0" fontId="2" fillId="24" borderId="0" xfId="0" applyFont="1" applyFill="1" applyBorder="1"/>
    <xf numFmtId="0" fontId="0" fillId="4" borderId="17" xfId="0" applyFont="1" applyFill="1" applyBorder="1" applyAlignment="1">
      <alignment horizontal="right"/>
    </xf>
    <xf numFmtId="0" fontId="1" fillId="4" borderId="63" xfId="0" applyFont="1" applyFill="1" applyBorder="1" applyAlignment="1">
      <alignment horizontal="left"/>
    </xf>
    <xf numFmtId="0" fontId="0" fillId="25" borderId="3" xfId="0" applyFill="1" applyBorder="1"/>
    <xf numFmtId="0" fontId="0" fillId="4" borderId="11" xfId="0" applyFill="1" applyBorder="1"/>
    <xf numFmtId="0" fontId="0" fillId="4" borderId="81" xfId="0" applyFill="1" applyBorder="1"/>
    <xf numFmtId="0" fontId="0" fillId="4" borderId="15" xfId="0" applyFill="1" applyBorder="1"/>
    <xf numFmtId="0" fontId="0" fillId="25" borderId="17" xfId="0" applyFill="1" applyBorder="1"/>
    <xf numFmtId="0" fontId="0" fillId="25" borderId="75" xfId="0" applyFill="1" applyBorder="1"/>
    <xf numFmtId="0" fontId="0" fillId="4" borderId="11" xfId="0" applyFont="1" applyFill="1" applyBorder="1"/>
    <xf numFmtId="0" fontId="0" fillId="5" borderId="17" xfId="0" applyFont="1" applyFill="1" applyBorder="1" applyAlignment="1">
      <alignment horizontal="right"/>
    </xf>
    <xf numFmtId="0" fontId="1" fillId="5" borderId="63" xfId="0" applyFont="1" applyFill="1" applyBorder="1" applyAlignment="1">
      <alignment horizontal="right"/>
    </xf>
    <xf numFmtId="1" fontId="0" fillId="5" borderId="15" xfId="0" applyNumberFormat="1" applyFill="1" applyBorder="1"/>
    <xf numFmtId="0" fontId="0" fillId="5" borderId="17" xfId="0" applyFill="1" applyBorder="1"/>
    <xf numFmtId="0" fontId="0" fillId="26" borderId="15" xfId="0" applyFill="1" applyBorder="1"/>
    <xf numFmtId="0" fontId="0" fillId="5" borderId="75" xfId="0" applyFill="1" applyBorder="1"/>
    <xf numFmtId="0" fontId="0" fillId="5" borderId="16" xfId="0" applyFill="1" applyBorder="1" applyAlignment="1">
      <alignment horizontal="right" vertical="center"/>
    </xf>
    <xf numFmtId="0" fontId="0" fillId="5" borderId="15" xfId="0" applyFill="1" applyBorder="1"/>
    <xf numFmtId="0" fontId="0" fillId="5" borderId="17" xfId="0" applyFill="1" applyBorder="1" applyAlignment="1">
      <alignment horizontal="right"/>
    </xf>
    <xf numFmtId="0" fontId="0" fillId="26" borderId="16" xfId="0" applyFill="1" applyBorder="1"/>
    <xf numFmtId="1" fontId="0" fillId="5" borderId="17" xfId="0" applyNumberFormat="1" applyFill="1" applyBorder="1" applyAlignment="1">
      <alignment horizontal="right"/>
    </xf>
    <xf numFmtId="1" fontId="0" fillId="5" borderId="17" xfId="0" applyNumberFormat="1" applyFill="1" applyBorder="1"/>
    <xf numFmtId="0" fontId="0" fillId="5" borderId="6" xfId="0" applyFill="1" applyBorder="1" applyAlignment="1">
      <alignment horizontal="right"/>
    </xf>
    <xf numFmtId="0" fontId="0" fillId="5" borderId="15" xfId="0" applyFill="1" applyBorder="1" applyAlignment="1">
      <alignment horizontal="right"/>
    </xf>
    <xf numFmtId="0" fontId="0" fillId="26" borderId="75" xfId="0" applyFill="1" applyBorder="1"/>
    <xf numFmtId="0" fontId="0" fillId="4" borderId="11" xfId="0" applyFill="1" applyBorder="1" applyAlignment="1">
      <alignment vertical="center"/>
    </xf>
    <xf numFmtId="0" fontId="0" fillId="4" borderId="16" xfId="0" applyFill="1" applyBorder="1"/>
    <xf numFmtId="0" fontId="0" fillId="4" borderId="6" xfId="0" applyFill="1" applyBorder="1"/>
    <xf numFmtId="0" fontId="4" fillId="0" borderId="3" xfId="0" applyFont="1" applyBorder="1" applyAlignment="1">
      <alignment horizontal="center"/>
    </xf>
    <xf numFmtId="1" fontId="0" fillId="4" borderId="11" xfId="0" applyNumberFormat="1" applyFill="1" applyBorder="1"/>
    <xf numFmtId="0" fontId="0" fillId="4" borderId="11" xfId="0" applyFill="1" applyBorder="1" applyAlignment="1">
      <alignment horizontal="right"/>
    </xf>
    <xf numFmtId="0" fontId="0" fillId="25" borderId="15" xfId="0" applyFill="1" applyBorder="1"/>
    <xf numFmtId="0" fontId="0" fillId="5" borderId="0" xfId="0" applyFill="1" applyBorder="1" applyAlignment="1">
      <alignment horizontal="left" indent="1"/>
    </xf>
    <xf numFmtId="0" fontId="0" fillId="4" borderId="4" xfId="0" applyFont="1" applyFill="1" applyBorder="1" applyAlignment="1">
      <alignment horizontal="right"/>
    </xf>
    <xf numFmtId="0" fontId="0" fillId="4" borderId="9" xfId="0" applyFont="1" applyFill="1" applyBorder="1"/>
    <xf numFmtId="1" fontId="0" fillId="4" borderId="0" xfId="0" applyNumberFormat="1" applyFont="1" applyFill="1" applyBorder="1"/>
    <xf numFmtId="0" fontId="0" fillId="5" borderId="75" xfId="0" applyFont="1" applyFill="1" applyBorder="1" applyAlignment="1">
      <alignment horizontal="right"/>
    </xf>
    <xf numFmtId="0" fontId="0" fillId="5" borderId="81" xfId="0" applyFont="1" applyFill="1" applyBorder="1" applyAlignment="1">
      <alignment horizontal="right"/>
    </xf>
    <xf numFmtId="0" fontId="0" fillId="5" borderId="16" xfId="0" applyFont="1" applyFill="1" applyBorder="1"/>
    <xf numFmtId="0" fontId="0" fillId="5" borderId="10" xfId="0" applyFont="1" applyFill="1" applyBorder="1"/>
    <xf numFmtId="1" fontId="0" fillId="5" borderId="66" xfId="0" applyNumberFormat="1" applyFont="1" applyFill="1" applyBorder="1" applyAlignment="1">
      <alignment vertical="center"/>
    </xf>
    <xf numFmtId="0" fontId="0" fillId="5" borderId="17" xfId="0" applyFont="1" applyFill="1" applyBorder="1"/>
    <xf numFmtId="1" fontId="0" fillId="5" borderId="15" xfId="0" applyNumberFormat="1" applyFont="1" applyFill="1" applyBorder="1"/>
    <xf numFmtId="0" fontId="0" fillId="5" borderId="16" xfId="0" applyFill="1" applyBorder="1"/>
    <xf numFmtId="1" fontId="0" fillId="5" borderId="17" xfId="0" applyNumberFormat="1" applyFont="1" applyFill="1" applyBorder="1"/>
    <xf numFmtId="1" fontId="0" fillId="5" borderId="11" xfId="0" applyNumberFormat="1" applyFont="1" applyFill="1" applyBorder="1"/>
    <xf numFmtId="0" fontId="0" fillId="4" borderId="17" xfId="0" applyFill="1" applyBorder="1"/>
    <xf numFmtId="1" fontId="4" fillId="0" borderId="0" xfId="0" applyNumberFormat="1" applyFont="1" applyBorder="1"/>
    <xf numFmtId="0" fontId="51" fillId="0" borderId="8" xfId="0" applyFont="1" applyFill="1" applyBorder="1"/>
    <xf numFmtId="0" fontId="4" fillId="0" borderId="10" xfId="0" applyFont="1" applyFill="1" applyBorder="1"/>
    <xf numFmtId="0" fontId="51" fillId="0" borderId="12" xfId="0" applyFont="1" applyFill="1" applyBorder="1" applyAlignment="1">
      <alignment horizontal="left"/>
    </xf>
    <xf numFmtId="0" fontId="4" fillId="0" borderId="13" xfId="0" applyFont="1" applyFill="1" applyBorder="1"/>
    <xf numFmtId="0" fontId="51" fillId="0" borderId="13" xfId="0" applyFont="1" applyBorder="1"/>
    <xf numFmtId="14" fontId="51" fillId="0" borderId="57" xfId="0" applyNumberFormat="1" applyFont="1" applyFill="1" applyBorder="1"/>
    <xf numFmtId="14" fontId="51" fillId="2" borderId="57" xfId="0" applyNumberFormat="1" applyFont="1" applyFill="1" applyBorder="1" applyProtection="1">
      <protection locked="0"/>
    </xf>
    <xf numFmtId="0" fontId="0" fillId="0" borderId="21" xfId="0" applyBorder="1"/>
    <xf numFmtId="0" fontId="0" fillId="0" borderId="22" xfId="0" applyBorder="1"/>
    <xf numFmtId="0" fontId="0" fillId="0" borderId="23" xfId="0" applyBorder="1"/>
    <xf numFmtId="0" fontId="4" fillId="0" borderId="6" xfId="0" applyFont="1" applyBorder="1" applyAlignment="1" applyProtection="1">
      <alignment horizontal="center" vertical="center"/>
      <protection locked="0"/>
    </xf>
    <xf numFmtId="0" fontId="51" fillId="0" borderId="8" xfId="0" applyFont="1" applyFill="1" applyBorder="1" applyAlignment="1">
      <alignment horizontal="left"/>
    </xf>
    <xf numFmtId="0" fontId="0" fillId="4" borderId="75" xfId="0" applyFont="1" applyFill="1" applyBorder="1" applyAlignment="1">
      <alignment horizontal="right"/>
    </xf>
    <xf numFmtId="0" fontId="0" fillId="4" borderId="58" xfId="0" applyFill="1" applyBorder="1"/>
    <xf numFmtId="0" fontId="0" fillId="4" borderId="75" xfId="0" applyFill="1" applyBorder="1"/>
    <xf numFmtId="1" fontId="0" fillId="4" borderId="17" xfId="0" applyNumberFormat="1" applyFill="1" applyBorder="1"/>
    <xf numFmtId="0" fontId="0" fillId="4" borderId="15" xfId="0" applyFill="1" applyBorder="1" applyAlignment="1">
      <alignment horizontal="right"/>
    </xf>
    <xf numFmtId="0" fontId="0" fillId="4" borderId="17" xfId="0" applyFill="1" applyBorder="1" applyAlignment="1">
      <alignment horizontal="right"/>
    </xf>
    <xf numFmtId="0" fontId="0" fillId="4" borderId="66" xfId="0" applyFill="1" applyBorder="1" applyAlignment="1">
      <alignment horizontal="right"/>
    </xf>
    <xf numFmtId="0" fontId="0" fillId="4" borderId="68" xfId="0" applyFont="1" applyFill="1" applyBorder="1" applyAlignment="1">
      <alignment horizontal="right"/>
    </xf>
    <xf numFmtId="1" fontId="0" fillId="4" borderId="66" xfId="0" applyNumberFormat="1" applyFont="1" applyFill="1" applyBorder="1" applyAlignment="1">
      <alignment vertical="center"/>
    </xf>
    <xf numFmtId="0" fontId="0" fillId="4" borderId="75" xfId="0" applyFont="1" applyFill="1" applyBorder="1"/>
    <xf numFmtId="0" fontId="0" fillId="5" borderId="75" xfId="0" applyFont="1" applyFill="1" applyBorder="1"/>
    <xf numFmtId="0" fontId="0" fillId="24" borderId="5" xfId="0" applyFont="1" applyFill="1" applyBorder="1" applyAlignment="1">
      <alignment readingOrder="1"/>
    </xf>
    <xf numFmtId="0" fontId="0" fillId="24" borderId="0" xfId="0" applyFont="1" applyFill="1" applyBorder="1" applyAlignment="1">
      <alignment readingOrder="1"/>
    </xf>
    <xf numFmtId="0" fontId="0" fillId="24" borderId="0" xfId="0" applyFont="1" applyFill="1" applyBorder="1"/>
    <xf numFmtId="0" fontId="0" fillId="24" borderId="11" xfId="0" applyFont="1" applyFill="1" applyBorder="1"/>
    <xf numFmtId="0" fontId="2" fillId="24" borderId="5" xfId="0" applyFont="1" applyFill="1" applyBorder="1" applyAlignment="1">
      <alignment readingOrder="1"/>
    </xf>
    <xf numFmtId="0" fontId="1" fillId="0" borderId="0" xfId="0" applyFont="1" applyAlignment="1">
      <alignment horizontal="center"/>
    </xf>
    <xf numFmtId="0" fontId="4" fillId="2" borderId="5" xfId="0" applyFont="1" applyFill="1" applyBorder="1"/>
    <xf numFmtId="0" fontId="0" fillId="0" borderId="12" xfId="0" applyBorder="1" applyAlignment="1">
      <alignment vertical="center"/>
    </xf>
    <xf numFmtId="0" fontId="0" fillId="0" borderId="13" xfId="0" applyBorder="1" applyAlignment="1">
      <alignment vertical="center"/>
    </xf>
    <xf numFmtId="0" fontId="51" fillId="2" borderId="12" xfId="0" applyFont="1" applyFill="1" applyBorder="1" applyAlignment="1" applyProtection="1">
      <alignment horizontal="left" vertical="center"/>
      <protection locked="0"/>
    </xf>
    <xf numFmtId="0" fontId="40" fillId="0" borderId="13" xfId="0" applyFont="1" applyBorder="1" applyAlignment="1">
      <alignment vertical="center"/>
    </xf>
    <xf numFmtId="0" fontId="34" fillId="0" borderId="0" xfId="40" applyBorder="1" applyAlignment="1">
      <alignment vertical="center"/>
    </xf>
    <xf numFmtId="0" fontId="0" fillId="0" borderId="6" xfId="0" applyBorder="1" applyAlignment="1">
      <alignment vertical="center"/>
    </xf>
    <xf numFmtId="0" fontId="0" fillId="0" borderId="14" xfId="0" applyBorder="1" applyAlignment="1">
      <alignment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24" borderId="0" xfId="0" applyFill="1" applyBorder="1" applyAlignment="1">
      <alignment horizontal="left"/>
    </xf>
    <xf numFmtId="0" fontId="0" fillId="0" borderId="5" xfId="0" applyBorder="1" applyAlignment="1">
      <alignment horizontal="left"/>
    </xf>
    <xf numFmtId="0" fontId="0" fillId="0" borderId="26" xfId="0" applyBorder="1"/>
    <xf numFmtId="0" fontId="0" fillId="0" borderId="30" xfId="0" applyBorder="1"/>
    <xf numFmtId="0" fontId="0" fillId="0" borderId="0" xfId="0" applyBorder="1" applyAlignment="1">
      <alignment horizontal="right" vertical="center"/>
    </xf>
    <xf numFmtId="0" fontId="0" fillId="0" borderId="69" xfId="0" applyFill="1" applyBorder="1"/>
    <xf numFmtId="0" fontId="51" fillId="0" borderId="69" xfId="0" applyFont="1" applyFill="1" applyBorder="1"/>
    <xf numFmtId="0" fontId="4" fillId="0" borderId="71" xfId="0" applyFont="1" applyFill="1" applyBorder="1"/>
    <xf numFmtId="0" fontId="0" fillId="5" borderId="81" xfId="0" applyFill="1" applyBorder="1"/>
    <xf numFmtId="0" fontId="0" fillId="4" borderId="3" xfId="0" applyFill="1" applyBorder="1"/>
    <xf numFmtId="0" fontId="0" fillId="4" borderId="10" xfId="0" applyFill="1" applyBorder="1" applyAlignment="1">
      <alignment vertical="center"/>
    </xf>
    <xf numFmtId="0" fontId="0" fillId="4" borderId="13" xfId="0" applyFill="1" applyBorder="1"/>
    <xf numFmtId="0" fontId="0" fillId="4" borderId="16" xfId="0" applyFill="1" applyBorder="1" applyAlignment="1">
      <alignment horizontal="right"/>
    </xf>
    <xf numFmtId="0" fontId="0" fillId="25" borderId="75" xfId="0" applyFill="1" applyBorder="1" applyAlignment="1">
      <alignment horizontal="right"/>
    </xf>
    <xf numFmtId="0" fontId="0" fillId="4" borderId="3" xfId="0" applyFont="1" applyFill="1" applyBorder="1"/>
    <xf numFmtId="1" fontId="0" fillId="4" borderId="9" xfId="0" applyNumberFormat="1" applyFont="1" applyFill="1" applyBorder="1"/>
    <xf numFmtId="1" fontId="0" fillId="4" borderId="2" xfId="0" applyNumberFormat="1" applyFont="1" applyFill="1" applyBorder="1" applyAlignment="1">
      <alignment vertical="center"/>
    </xf>
    <xf numFmtId="1" fontId="0" fillId="4" borderId="4" xfId="0" applyNumberFormat="1" applyFont="1" applyFill="1" applyBorder="1"/>
    <xf numFmtId="0" fontId="0" fillId="4" borderId="61" xfId="0" applyFill="1" applyBorder="1"/>
    <xf numFmtId="1" fontId="2" fillId="4" borderId="0" xfId="0" applyNumberFormat="1" applyFont="1" applyFill="1" applyBorder="1" applyAlignment="1">
      <alignment vertical="center"/>
    </xf>
    <xf numFmtId="1" fontId="0" fillId="5" borderId="16" xfId="0" applyNumberFormat="1" applyFont="1" applyFill="1" applyBorder="1"/>
    <xf numFmtId="1" fontId="0" fillId="5" borderId="10" xfId="0" applyNumberFormat="1" applyFont="1" applyFill="1" applyBorder="1"/>
    <xf numFmtId="1" fontId="0" fillId="5" borderId="15" xfId="0" applyNumberFormat="1" applyFont="1" applyFill="1" applyBorder="1" applyAlignment="1">
      <alignment vertical="center"/>
    </xf>
    <xf numFmtId="1" fontId="0" fillId="5" borderId="3" xfId="0" applyNumberFormat="1" applyFont="1" applyFill="1" applyBorder="1" applyAlignment="1">
      <alignment vertical="center"/>
    </xf>
    <xf numFmtId="1" fontId="0" fillId="5" borderId="75" xfId="0" applyNumberFormat="1" applyFont="1" applyFill="1" applyBorder="1"/>
    <xf numFmtId="1" fontId="0" fillId="5" borderId="81" xfId="0" applyNumberFormat="1" applyFont="1" applyFill="1" applyBorder="1"/>
    <xf numFmtId="0" fontId="0" fillId="5" borderId="61" xfId="0" applyFill="1" applyBorder="1"/>
    <xf numFmtId="0" fontId="0" fillId="5" borderId="83" xfId="0" applyFill="1" applyBorder="1"/>
    <xf numFmtId="0" fontId="0" fillId="4" borderId="5" xfId="0" applyFont="1" applyFill="1" applyBorder="1" applyAlignment="1">
      <alignment horizontal="right" vertical="center"/>
    </xf>
    <xf numFmtId="0" fontId="0" fillId="5" borderId="17" xfId="0" applyFont="1" applyFill="1" applyBorder="1" applyAlignment="1">
      <alignment horizontal="right" vertical="center"/>
    </xf>
    <xf numFmtId="0" fontId="0" fillId="5" borderId="11" xfId="0" applyFont="1" applyFill="1" applyBorder="1" applyAlignment="1">
      <alignment horizontal="right" vertical="center"/>
    </xf>
    <xf numFmtId="0" fontId="0" fillId="0" borderId="15" xfId="0" applyBorder="1" applyAlignment="1">
      <alignment vertical="center"/>
    </xf>
    <xf numFmtId="0" fontId="0" fillId="0" borderId="15" xfId="0" applyBorder="1" applyAlignment="1">
      <alignment horizontal="right" vertical="center"/>
    </xf>
    <xf numFmtId="164" fontId="51" fillId="2" borderId="6" xfId="0" applyNumberFormat="1" applyFont="1" applyFill="1" applyBorder="1" applyAlignment="1" applyProtection="1">
      <alignment horizontal="right" vertical="center"/>
      <protection locked="0"/>
    </xf>
    <xf numFmtId="0" fontId="0" fillId="0" borderId="0" xfId="0" applyAlignment="1">
      <alignment horizontal="right" vertical="center"/>
    </xf>
    <xf numFmtId="3" fontId="21" fillId="0" borderId="84" xfId="38" applyBorder="1" applyAlignment="1" applyProtection="1">
      <alignment horizontal="center" vertical="center" shrinkToFit="1"/>
      <protection locked="0"/>
    </xf>
    <xf numFmtId="3" fontId="21" fillId="0" borderId="48" xfId="38" applyBorder="1" applyAlignment="1" applyProtection="1">
      <alignment horizontal="center" vertical="center" shrinkToFit="1"/>
      <protection locked="0"/>
    </xf>
    <xf numFmtId="0" fontId="0" fillId="0" borderId="14" xfId="0" applyBorder="1" applyAlignment="1">
      <alignment horizontal="right" vertical="center"/>
    </xf>
    <xf numFmtId="0" fontId="0" fillId="0" borderId="12" xfId="0" applyBorder="1" applyAlignment="1">
      <alignment horizontal="left" vertical="center"/>
    </xf>
    <xf numFmtId="0" fontId="0" fillId="0" borderId="13" xfId="0" applyBorder="1" applyAlignment="1">
      <alignment horizontal="right" vertical="center"/>
    </xf>
    <xf numFmtId="3" fontId="21" fillId="0" borderId="40" xfId="38" applyBorder="1" applyAlignment="1">
      <alignment horizontal="center" vertical="center" shrinkToFit="1"/>
    </xf>
    <xf numFmtId="3" fontId="21" fillId="0" borderId="48" xfId="38" applyBorder="1" applyAlignment="1">
      <alignment horizontal="center" vertical="center" shrinkToFit="1"/>
    </xf>
    <xf numFmtId="0" fontId="0" fillId="0" borderId="15" xfId="0" applyFont="1" applyBorder="1" applyAlignment="1">
      <alignment vertical="center"/>
    </xf>
    <xf numFmtId="170" fontId="0" fillId="0" borderId="12" xfId="41" applyNumberFormat="1" applyFont="1" applyFill="1" applyBorder="1" applyAlignment="1">
      <alignment horizontal="right" vertical="center"/>
    </xf>
    <xf numFmtId="170" fontId="0" fillId="0" borderId="8" xfId="41" applyNumberFormat="1" applyFont="1" applyFill="1" applyBorder="1" applyAlignment="1">
      <alignment horizontal="right" vertical="center"/>
    </xf>
    <xf numFmtId="0" fontId="0" fillId="0" borderId="9" xfId="0" applyFill="1" applyBorder="1" applyAlignment="1">
      <alignment horizontal="left" vertical="center"/>
    </xf>
    <xf numFmtId="0" fontId="0" fillId="0" borderId="9" xfId="0" applyFill="1" applyBorder="1" applyAlignment="1">
      <alignment vertical="center"/>
    </xf>
    <xf numFmtId="0" fontId="63" fillId="0" borderId="0" xfId="0" applyFont="1" applyBorder="1" applyAlignment="1">
      <alignment horizontal="center" vertical="center"/>
    </xf>
    <xf numFmtId="0" fontId="0" fillId="0" borderId="10"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2" fillId="0" borderId="6" xfId="0" applyFont="1" applyBorder="1" applyAlignment="1">
      <alignment horizontal="center" vertical="center"/>
    </xf>
    <xf numFmtId="0" fontId="0" fillId="0" borderId="6" xfId="0" applyFont="1" applyBorder="1" applyAlignment="1">
      <alignment vertical="center"/>
    </xf>
    <xf numFmtId="3" fontId="21" fillId="0" borderId="40" xfId="38" applyBorder="1" applyAlignment="1" applyProtection="1">
      <alignment horizontal="center" vertical="center" shrinkToFit="1"/>
      <protection locked="0"/>
    </xf>
    <xf numFmtId="0" fontId="34" fillId="0" borderId="0" xfId="40" applyAlignment="1">
      <alignment vertical="center"/>
    </xf>
    <xf numFmtId="0" fontId="0" fillId="0" borderId="0" xfId="0" applyFill="1" applyBorder="1" applyAlignment="1">
      <alignment horizontal="right" vertical="center"/>
    </xf>
    <xf numFmtId="0" fontId="4" fillId="2" borderId="12" xfId="0" applyFont="1" applyFill="1" applyBorder="1" applyAlignment="1">
      <alignment horizontal="left" vertical="center"/>
    </xf>
    <xf numFmtId="0" fontId="0" fillId="2" borderId="13" xfId="0" applyFill="1" applyBorder="1" applyAlignment="1">
      <alignment vertical="center"/>
    </xf>
    <xf numFmtId="0" fontId="0" fillId="0" borderId="0" xfId="0" applyFill="1" applyBorder="1" applyAlignment="1">
      <alignment vertical="center"/>
    </xf>
    <xf numFmtId="0" fontId="0" fillId="0" borderId="11" xfId="0" applyFill="1" applyBorder="1" applyAlignment="1">
      <alignment vertical="center"/>
    </xf>
    <xf numFmtId="0" fontId="0" fillId="0" borderId="6" xfId="0" applyFill="1" applyBorder="1" applyAlignment="1">
      <alignment vertical="center"/>
    </xf>
    <xf numFmtId="0" fontId="4" fillId="2" borderId="6" xfId="0" applyFont="1" applyFill="1" applyBorder="1" applyAlignment="1">
      <alignment horizontal="center" vertical="center"/>
    </xf>
    <xf numFmtId="164" fontId="0" fillId="0" borderId="0" xfId="0" applyNumberFormat="1" applyFill="1" applyBorder="1" applyAlignment="1">
      <alignment horizontal="right" vertical="center"/>
    </xf>
    <xf numFmtId="0" fontId="0" fillId="0" borderId="14" xfId="0" applyFill="1" applyBorder="1" applyAlignment="1">
      <alignment horizontal="left" vertical="center"/>
    </xf>
    <xf numFmtId="0" fontId="0" fillId="0" borderId="13" xfId="0" applyFill="1" applyBorder="1" applyAlignment="1">
      <alignment vertical="center"/>
    </xf>
    <xf numFmtId="0" fontId="0" fillId="0" borderId="6" xfId="0" applyFont="1" applyFill="1" applyBorder="1" applyAlignment="1">
      <alignment horizontal="right" vertical="center"/>
    </xf>
    <xf numFmtId="164" fontId="2" fillId="0" borderId="6" xfId="42" applyNumberFormat="1" applyFont="1" applyFill="1" applyBorder="1" applyAlignment="1">
      <alignment horizontal="right" vertical="center"/>
    </xf>
    <xf numFmtId="0" fontId="2" fillId="0" borderId="0" xfId="0" applyFont="1" applyBorder="1" applyAlignment="1">
      <alignment horizontal="right" vertical="center"/>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center" vertical="center"/>
    </xf>
    <xf numFmtId="0" fontId="0" fillId="0" borderId="12" xfId="0" applyFont="1" applyBorder="1" applyAlignment="1">
      <alignment vertical="center"/>
    </xf>
    <xf numFmtId="0" fontId="0" fillId="0" borderId="6" xfId="0" applyBorder="1" applyAlignment="1">
      <alignment horizontal="right" vertical="center"/>
    </xf>
    <xf numFmtId="0" fontId="0" fillId="0" borderId="5" xfId="0" applyFill="1" applyBorder="1" applyAlignment="1">
      <alignment vertical="center"/>
    </xf>
    <xf numFmtId="170" fontId="4" fillId="2" borderId="6"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164" fontId="51" fillId="2" borderId="16" xfId="0" applyNumberFormat="1" applyFont="1" applyFill="1" applyBorder="1" applyAlignment="1" applyProtection="1">
      <alignment horizontal="right" vertical="center"/>
      <protection locked="0"/>
    </xf>
    <xf numFmtId="0" fontId="40" fillId="0" borderId="8" xfId="0" applyFont="1" applyBorder="1" applyAlignment="1">
      <alignment vertical="center"/>
    </xf>
    <xf numFmtId="0" fontId="40" fillId="0" borderId="9" xfId="0" applyFont="1" applyBorder="1" applyAlignment="1">
      <alignment vertical="center"/>
    </xf>
    <xf numFmtId="0" fontId="40" fillId="0" borderId="14" xfId="0" applyFont="1" applyBorder="1" applyAlignment="1">
      <alignment horizontal="right" vertical="center"/>
    </xf>
    <xf numFmtId="0" fontId="40" fillId="0" borderId="6" xfId="0" applyFont="1" applyBorder="1" applyAlignment="1">
      <alignment vertical="center"/>
    </xf>
    <xf numFmtId="0" fontId="0" fillId="0" borderId="31" xfId="0" applyBorder="1" applyAlignment="1">
      <alignment vertical="center"/>
    </xf>
    <xf numFmtId="0" fontId="0" fillId="0" borderId="33" xfId="0" applyBorder="1" applyAlignment="1">
      <alignment vertical="center"/>
    </xf>
    <xf numFmtId="0" fontId="6" fillId="0" borderId="0" xfId="0" applyFont="1" applyBorder="1" applyAlignment="1">
      <alignment vertical="center"/>
    </xf>
    <xf numFmtId="22" fontId="0" fillId="0" borderId="0" xfId="0" applyNumberFormat="1" applyAlignment="1">
      <alignment vertical="center"/>
    </xf>
    <xf numFmtId="0" fontId="0" fillId="0" borderId="69" xfId="0" applyBorder="1" applyAlignment="1">
      <alignment vertical="center"/>
    </xf>
    <xf numFmtId="0" fontId="0" fillId="0" borderId="71" xfId="0" applyBorder="1" applyAlignment="1">
      <alignment vertical="center"/>
    </xf>
    <xf numFmtId="0" fontId="1" fillId="0" borderId="0" xfId="0" applyFont="1" applyBorder="1" applyAlignment="1">
      <alignment vertical="center"/>
    </xf>
    <xf numFmtId="2" fontId="51" fillId="2" borderId="12" xfId="0" applyNumberFormat="1" applyFont="1" applyFill="1" applyBorder="1" applyAlignment="1" applyProtection="1">
      <alignment horizontal="left" vertical="center"/>
      <protection locked="0"/>
    </xf>
    <xf numFmtId="0" fontId="51" fillId="0" borderId="13" xfId="0" applyFont="1" applyBorder="1" applyAlignment="1">
      <alignment vertical="center"/>
    </xf>
    <xf numFmtId="0" fontId="4" fillId="2" borderId="14" xfId="0" applyFont="1" applyFill="1" applyBorder="1" applyAlignment="1">
      <alignment horizontal="left" vertical="center"/>
    </xf>
    <xf numFmtId="0" fontId="0" fillId="2" borderId="14" xfId="0" applyFill="1" applyBorder="1" applyAlignment="1">
      <alignment vertical="center"/>
    </xf>
    <xf numFmtId="0" fontId="4" fillId="2" borderId="6" xfId="0" applyFont="1" applyFill="1" applyBorder="1" applyAlignment="1" applyProtection="1">
      <alignment horizontal="right" vertical="center"/>
      <protection locked="0"/>
    </xf>
    <xf numFmtId="164" fontId="2" fillId="0" borderId="6" xfId="0" applyNumberFormat="1" applyFont="1" applyFill="1" applyBorder="1" applyAlignment="1">
      <alignment vertical="center"/>
    </xf>
    <xf numFmtId="0" fontId="0" fillId="0" borderId="1" xfId="0" applyBorder="1" applyAlignment="1">
      <alignment vertical="center"/>
    </xf>
    <xf numFmtId="170" fontId="0" fillId="0" borderId="14" xfId="41" applyNumberFormat="1" applyFont="1" applyFill="1" applyBorder="1" applyAlignment="1">
      <alignment horizontal="right" vertical="center"/>
    </xf>
    <xf numFmtId="0" fontId="0" fillId="0" borderId="14" xfId="0" applyFill="1" applyBorder="1" applyAlignment="1">
      <alignment vertical="center"/>
    </xf>
    <xf numFmtId="170" fontId="0" fillId="0" borderId="2" xfId="41" applyNumberFormat="1" applyFont="1" applyFill="1" applyBorder="1" applyAlignment="1">
      <alignment horizontal="right" vertical="center"/>
    </xf>
    <xf numFmtId="0" fontId="0" fillId="0" borderId="2" xfId="0" applyFill="1" applyBorder="1" applyAlignment="1">
      <alignment vertical="center"/>
    </xf>
    <xf numFmtId="0" fontId="0" fillId="0" borderId="2" xfId="0" applyBorder="1" applyAlignment="1">
      <alignment horizontal="right" vertical="center"/>
    </xf>
    <xf numFmtId="164" fontId="1" fillId="0" borderId="3" xfId="0" applyNumberFormat="1" applyFont="1" applyFill="1" applyBorder="1" applyAlignment="1">
      <alignment horizontal="right" vertical="center"/>
    </xf>
    <xf numFmtId="170" fontId="0" fillId="0" borderId="0" xfId="41" applyNumberFormat="1" applyFont="1" applyFill="1" applyBorder="1" applyAlignment="1">
      <alignment horizontal="right" vertical="center"/>
    </xf>
    <xf numFmtId="0" fontId="0" fillId="0" borderId="3" xfId="0" applyBorder="1" applyAlignment="1">
      <alignment vertical="center"/>
    </xf>
    <xf numFmtId="0" fontId="51" fillId="2" borderId="6" xfId="0" applyFont="1" applyFill="1" applyBorder="1" applyAlignment="1" applyProtection="1">
      <alignment horizontal="center" vertical="center"/>
      <protection locked="0"/>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0" fillId="24" borderId="1" xfId="0" applyFill="1" applyBorder="1" applyAlignment="1">
      <alignment vertical="center"/>
    </xf>
    <xf numFmtId="0" fontId="0" fillId="24" borderId="2" xfId="0" applyFill="1" applyBorder="1" applyAlignment="1">
      <alignment vertical="center"/>
    </xf>
    <xf numFmtId="0" fontId="0" fillId="24" borderId="3" xfId="0" applyFill="1" applyBorder="1" applyAlignment="1">
      <alignment vertical="center"/>
    </xf>
    <xf numFmtId="0" fontId="40" fillId="0" borderId="14" xfId="0" applyFont="1" applyBorder="1" applyAlignment="1">
      <alignment vertical="center"/>
    </xf>
    <xf numFmtId="0" fontId="6" fillId="0" borderId="0" xfId="0" applyFont="1" applyBorder="1" applyAlignment="1">
      <alignment horizontal="right" vertical="center"/>
    </xf>
    <xf numFmtId="3" fontId="21" fillId="0" borderId="51" xfId="38" applyBorder="1" applyAlignment="1" applyProtection="1">
      <alignment horizontal="center" vertical="center" shrinkToFit="1"/>
      <protection locked="0"/>
    </xf>
    <xf numFmtId="3" fontId="21" fillId="0" borderId="85" xfId="38" applyBorder="1" applyAlignment="1" applyProtection="1">
      <alignment horizontal="center" vertical="center" shrinkToFit="1"/>
      <protection locked="0"/>
    </xf>
    <xf numFmtId="0" fontId="0" fillId="0" borderId="77" xfId="0" applyBorder="1" applyAlignment="1">
      <alignment horizontal="center" vertical="center"/>
    </xf>
    <xf numFmtId="0" fontId="0" fillId="2" borderId="38" xfId="0" applyFill="1" applyBorder="1" applyAlignment="1">
      <alignment horizontal="center" vertical="center"/>
    </xf>
    <xf numFmtId="164" fontId="0" fillId="0" borderId="0" xfId="0" applyNumberFormat="1" applyBorder="1" applyAlignment="1">
      <alignment horizontal="center" vertical="center"/>
    </xf>
    <xf numFmtId="0" fontId="0" fillId="0" borderId="38" xfId="0" applyBorder="1" applyAlignment="1">
      <alignment horizontal="center" vertical="center"/>
    </xf>
    <xf numFmtId="9" fontId="0" fillId="0" borderId="0" xfId="41" applyFont="1" applyBorder="1" applyAlignment="1">
      <alignment horizontal="center" vertical="center"/>
    </xf>
    <xf numFmtId="9" fontId="0" fillId="2" borderId="0" xfId="41" applyFont="1" applyFill="1" applyBorder="1" applyAlignment="1">
      <alignment vertical="center"/>
    </xf>
    <xf numFmtId="0" fontId="2" fillId="0" borderId="76" xfId="0" applyFont="1" applyBorder="1" applyAlignment="1">
      <alignment horizontal="right" vertical="center"/>
    </xf>
    <xf numFmtId="0" fontId="0" fillId="0" borderId="76"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4" xfId="0" applyBorder="1" applyAlignment="1">
      <alignment horizontal="center" vertical="center"/>
    </xf>
    <xf numFmtId="0" fontId="2" fillId="0" borderId="72" xfId="0" applyFont="1" applyBorder="1" applyAlignment="1">
      <alignment vertical="center"/>
    </xf>
    <xf numFmtId="0" fontId="2" fillId="0" borderId="58" xfId="0" applyFont="1" applyBorder="1" applyAlignment="1">
      <alignment horizontal="center" vertical="center"/>
    </xf>
    <xf numFmtId="0" fontId="0" fillId="2" borderId="77" xfId="0" applyFill="1" applyBorder="1" applyAlignment="1">
      <alignment horizontal="left" vertical="center"/>
    </xf>
    <xf numFmtId="0" fontId="0" fillId="2" borderId="77" xfId="0" applyFill="1" applyBorder="1" applyAlignment="1">
      <alignment horizontal="center" vertical="center"/>
    </xf>
    <xf numFmtId="0" fontId="0" fillId="2" borderId="35" xfId="0" applyFill="1" applyBorder="1" applyAlignment="1">
      <alignment horizontal="center" vertical="center"/>
    </xf>
    <xf numFmtId="0" fontId="60" fillId="0" borderId="72" xfId="0" applyFont="1" applyBorder="1"/>
    <xf numFmtId="0" fontId="2" fillId="0" borderId="76" xfId="0" applyFont="1" applyBorder="1" applyAlignment="1">
      <alignment vertical="center"/>
    </xf>
    <xf numFmtId="0" fontId="0" fillId="0" borderId="5" xfId="0" applyFont="1" applyBorder="1"/>
    <xf numFmtId="0" fontId="2" fillId="0" borderId="5" xfId="0" applyFont="1" applyBorder="1"/>
    <xf numFmtId="0" fontId="40" fillId="0" borderId="5" xfId="0" applyFont="1" applyBorder="1" applyAlignment="1">
      <alignment vertical="center"/>
    </xf>
    <xf numFmtId="0" fontId="2" fillId="0" borderId="5" xfId="0" applyFont="1" applyBorder="1" applyAlignment="1">
      <alignment vertical="center"/>
    </xf>
    <xf numFmtId="0" fontId="0" fillId="0" borderId="8" xfId="0" applyFont="1" applyBorder="1"/>
    <xf numFmtId="0" fontId="7" fillId="0" borderId="0" xfId="0" applyFont="1" applyBorder="1"/>
    <xf numFmtId="0" fontId="40" fillId="4" borderId="0" xfId="0" applyFont="1" applyFill="1" applyAlignment="1">
      <alignment vertical="center"/>
    </xf>
    <xf numFmtId="0" fontId="13" fillId="0" borderId="6" xfId="34" applyFont="1" applyFill="1" applyBorder="1" applyAlignment="1">
      <alignment horizontal="right"/>
    </xf>
    <xf numFmtId="0" fontId="13" fillId="0" borderId="6" xfId="34" applyFont="1" applyFill="1" applyBorder="1" applyAlignment="1">
      <alignment horizontal="left"/>
    </xf>
    <xf numFmtId="0" fontId="0" fillId="23" borderId="6" xfId="0" applyFill="1" applyBorder="1"/>
    <xf numFmtId="0" fontId="13" fillId="24" borderId="6" xfId="34" applyFont="1" applyFill="1" applyBorder="1" applyAlignment="1">
      <alignment horizontal="center"/>
    </xf>
    <xf numFmtId="0" fontId="13" fillId="24" borderId="6" xfId="34" applyFont="1" applyFill="1" applyBorder="1" applyAlignment="1">
      <alignment horizontal="left"/>
    </xf>
    <xf numFmtId="0" fontId="14" fillId="24" borderId="6" xfId="34" applyFont="1" applyFill="1" applyBorder="1" applyAlignment="1">
      <alignment horizontal="center"/>
    </xf>
    <xf numFmtId="0" fontId="14" fillId="24" borderId="6" xfId="35" applyFont="1" applyFill="1" applyBorder="1" applyAlignment="1">
      <alignment horizontal="center"/>
    </xf>
    <xf numFmtId="0" fontId="0" fillId="24" borderId="6" xfId="0" applyFill="1" applyBorder="1"/>
    <xf numFmtId="0" fontId="0" fillId="0" borderId="6" xfId="0" applyFont="1" applyBorder="1"/>
    <xf numFmtId="0" fontId="0" fillId="0" borderId="6" xfId="0" applyFill="1" applyBorder="1" applyAlignment="1">
      <alignment horizontal="center"/>
    </xf>
    <xf numFmtId="0" fontId="0" fillId="0" borderId="6" xfId="0" applyFill="1" applyBorder="1" applyAlignment="1">
      <alignment horizontal="left"/>
    </xf>
    <xf numFmtId="0" fontId="6" fillId="0" borderId="6" xfId="0" applyFont="1" applyFill="1" applyBorder="1" applyAlignment="1">
      <alignment vertical="top"/>
    </xf>
    <xf numFmtId="0" fontId="6" fillId="0" borderId="6" xfId="0" applyFont="1" applyBorder="1" applyAlignment="1">
      <alignment vertical="top"/>
    </xf>
    <xf numFmtId="0" fontId="6" fillId="0" borderId="6" xfId="0" applyFont="1" applyFill="1" applyBorder="1" applyAlignment="1">
      <alignment horizontal="center" vertical="top"/>
    </xf>
    <xf numFmtId="0" fontId="45" fillId="0" borderId="6" xfId="0" applyFont="1" applyFill="1" applyBorder="1" applyAlignment="1">
      <alignment horizontal="center" vertical="top"/>
    </xf>
    <xf numFmtId="0" fontId="6" fillId="0" borderId="6" xfId="0" applyFont="1" applyFill="1" applyBorder="1" applyAlignment="1">
      <alignment horizontal="center"/>
    </xf>
    <xf numFmtId="0" fontId="2" fillId="0" borderId="6" xfId="0" applyFont="1" applyFill="1" applyBorder="1"/>
    <xf numFmtId="0" fontId="1" fillId="0" borderId="6" xfId="0" applyFont="1" applyFill="1" applyBorder="1" applyAlignment="1">
      <alignment horizontal="center"/>
    </xf>
    <xf numFmtId="164" fontId="0" fillId="0" borderId="6" xfId="0" applyNumberFormat="1" applyFill="1" applyBorder="1" applyAlignment="1">
      <alignment horizontal="center"/>
    </xf>
    <xf numFmtId="164" fontId="0" fillId="0" borderId="6" xfId="0" applyNumberFormat="1" applyFill="1" applyBorder="1"/>
    <xf numFmtId="2" fontId="0" fillId="0" borderId="6" xfId="0" applyNumberFormat="1" applyFill="1" applyBorder="1"/>
    <xf numFmtId="0" fontId="0" fillId="23" borderId="6" xfId="0" applyFill="1" applyBorder="1" applyAlignment="1">
      <alignment horizontal="center"/>
    </xf>
    <xf numFmtId="0" fontId="65" fillId="23" borderId="6" xfId="0" applyFont="1" applyFill="1" applyBorder="1"/>
    <xf numFmtId="3" fontId="0" fillId="0" borderId="6" xfId="0" applyNumberFormat="1" applyFill="1" applyBorder="1" applyAlignment="1">
      <alignment horizontal="center"/>
    </xf>
    <xf numFmtId="0" fontId="1" fillId="0" borderId="6" xfId="0" applyFont="1" applyFill="1" applyBorder="1"/>
    <xf numFmtId="0" fontId="4" fillId="0" borderId="6" xfId="0" applyFont="1" applyFill="1" applyBorder="1"/>
    <xf numFmtId="0" fontId="0" fillId="0" borderId="6" xfId="0" applyFill="1" applyBorder="1" applyAlignment="1">
      <alignment horizontal="right"/>
    </xf>
    <xf numFmtId="0" fontId="0" fillId="0" borderId="6" xfId="0" applyFill="1" applyBorder="1" applyAlignment="1">
      <alignment horizontal="center" vertical="center"/>
    </xf>
    <xf numFmtId="0" fontId="0" fillId="0" borderId="6" xfId="0" applyFont="1" applyFill="1" applyBorder="1"/>
    <xf numFmtId="0" fontId="1" fillId="0" borderId="6" xfId="0" applyFont="1" applyFill="1" applyBorder="1" applyAlignment="1">
      <alignment horizontal="right"/>
    </xf>
    <xf numFmtId="0" fontId="0" fillId="0" borderId="6" xfId="0" applyFont="1" applyFill="1" applyBorder="1" applyAlignment="1">
      <alignment horizontal="center"/>
    </xf>
    <xf numFmtId="0" fontId="0" fillId="12" borderId="6" xfId="0" applyFill="1" applyBorder="1" applyAlignment="1">
      <alignment horizontal="center"/>
    </xf>
    <xf numFmtId="0" fontId="0" fillId="24" borderId="6" xfId="0" applyFont="1" applyFill="1" applyBorder="1"/>
    <xf numFmtId="0" fontId="4" fillId="0" borderId="6" xfId="0" applyFont="1" applyFill="1" applyBorder="1" applyAlignment="1">
      <alignment horizontal="center"/>
    </xf>
    <xf numFmtId="0" fontId="15" fillId="11" borderId="6" xfId="0" applyFont="1" applyFill="1" applyBorder="1"/>
    <xf numFmtId="2" fontId="0" fillId="0" borderId="6" xfId="0" applyNumberFormat="1" applyFont="1" applyFill="1" applyBorder="1" applyAlignment="1">
      <alignment horizontal="center"/>
    </xf>
    <xf numFmtId="0" fontId="0" fillId="0" borderId="16" xfId="0" applyFill="1" applyBorder="1"/>
    <xf numFmtId="0" fontId="0" fillId="0" borderId="16" xfId="0" applyFill="1" applyBorder="1" applyAlignment="1">
      <alignment horizontal="center"/>
    </xf>
    <xf numFmtId="0" fontId="1" fillId="0" borderId="16" xfId="0" applyFont="1" applyFill="1" applyBorder="1" applyAlignment="1">
      <alignment horizontal="center"/>
    </xf>
    <xf numFmtId="0" fontId="0" fillId="0" borderId="86" xfId="0" applyFill="1" applyBorder="1"/>
    <xf numFmtId="0" fontId="0" fillId="0" borderId="86" xfId="0" applyFill="1" applyBorder="1" applyAlignment="1">
      <alignment horizontal="center"/>
    </xf>
    <xf numFmtId="0" fontId="1" fillId="0" borderId="86" xfId="0" applyFont="1" applyFill="1" applyBorder="1" applyAlignment="1">
      <alignment horizontal="center"/>
    </xf>
    <xf numFmtId="0" fontId="2" fillId="0" borderId="16" xfId="0" applyFont="1" applyFill="1" applyBorder="1" applyAlignment="1">
      <alignment horizontal="center"/>
    </xf>
    <xf numFmtId="0" fontId="0" fillId="0" borderId="86" xfId="0" applyFont="1" applyFill="1" applyBorder="1"/>
    <xf numFmtId="0" fontId="0" fillId="0" borderId="16" xfId="0" applyFont="1" applyFill="1" applyBorder="1"/>
    <xf numFmtId="0" fontId="6" fillId="0" borderId="16" xfId="0" applyFont="1" applyFill="1" applyBorder="1" applyAlignment="1">
      <alignment horizontal="center"/>
    </xf>
    <xf numFmtId="0" fontId="0" fillId="23" borderId="6" xfId="0" applyFont="1" applyFill="1" applyBorder="1"/>
    <xf numFmtId="0" fontId="0" fillId="0" borderId="86" xfId="0" applyFont="1" applyFill="1" applyBorder="1" applyAlignment="1">
      <alignment horizontal="center"/>
    </xf>
    <xf numFmtId="0" fontId="0" fillId="0" borderId="16" xfId="0" applyFont="1" applyFill="1" applyBorder="1" applyAlignment="1">
      <alignment horizontal="center"/>
    </xf>
    <xf numFmtId="0" fontId="0" fillId="23" borderId="6" xfId="0" applyFont="1" applyFill="1" applyBorder="1" applyAlignment="1">
      <alignment horizontal="center"/>
    </xf>
    <xf numFmtId="0" fontId="0" fillId="0" borderId="0" xfId="0" applyFont="1" applyFill="1" applyBorder="1" applyAlignment="1">
      <alignment horizontal="center"/>
    </xf>
    <xf numFmtId="0" fontId="0" fillId="10" borderId="0" xfId="0" applyFill="1" applyAlignment="1">
      <alignment horizontal="center" vertical="center"/>
    </xf>
    <xf numFmtId="0" fontId="63" fillId="0" borderId="11" xfId="0" applyFont="1" applyBorder="1" applyAlignment="1">
      <alignment horizontal="right" vertical="center" readingOrder="1"/>
    </xf>
    <xf numFmtId="0" fontId="0" fillId="0" borderId="0" xfId="0" applyFont="1" applyFill="1" applyBorder="1" applyAlignment="1">
      <alignment readingOrder="1"/>
    </xf>
    <xf numFmtId="165" fontId="2" fillId="0" borderId="11" xfId="0" applyNumberFormat="1" applyFont="1" applyFill="1" applyBorder="1"/>
    <xf numFmtId="0" fontId="7" fillId="0" borderId="5" xfId="0" applyFont="1" applyBorder="1" applyAlignment="1">
      <alignment readingOrder="1"/>
    </xf>
    <xf numFmtId="0" fontId="63" fillId="0" borderId="11" xfId="0" applyFont="1" applyBorder="1" applyAlignment="1">
      <alignment horizontal="right"/>
    </xf>
    <xf numFmtId="0" fontId="9" fillId="0" borderId="10" xfId="0" applyFont="1" applyBorder="1" applyAlignment="1">
      <alignment horizontal="right" vertical="center" readingOrder="1"/>
    </xf>
    <xf numFmtId="0" fontId="10" fillId="0" borderId="10" xfId="0" applyFont="1" applyBorder="1" applyAlignment="1">
      <alignment horizontal="right"/>
    </xf>
    <xf numFmtId="0" fontId="4" fillId="0" borderId="5" xfId="0" applyFont="1" applyFill="1" applyBorder="1" applyAlignment="1">
      <alignment readingOrder="1"/>
    </xf>
    <xf numFmtId="0" fontId="51" fillId="0" borderId="12" xfId="0" applyFont="1" applyFill="1" applyBorder="1" applyAlignment="1">
      <alignment horizontal="left"/>
    </xf>
    <xf numFmtId="0" fontId="51" fillId="0" borderId="13" xfId="0" applyFont="1" applyFill="1" applyBorder="1" applyAlignment="1">
      <alignment horizontal="left"/>
    </xf>
    <xf numFmtId="0" fontId="51" fillId="0" borderId="12" xfId="0" applyFont="1" applyFill="1" applyBorder="1" applyAlignment="1">
      <alignment horizontal="left" shrinkToFit="1"/>
    </xf>
    <xf numFmtId="0" fontId="51" fillId="0" borderId="13" xfId="0" applyFont="1" applyFill="1" applyBorder="1" applyAlignment="1">
      <alignment horizontal="left" shrinkToFit="1"/>
    </xf>
    <xf numFmtId="0" fontId="0" fillId="0" borderId="21" xfId="0" applyBorder="1" applyAlignment="1">
      <alignment vertical="center"/>
    </xf>
    <xf numFmtId="0" fontId="2" fillId="0" borderId="22" xfId="0" applyFont="1" applyBorder="1" applyAlignment="1">
      <alignment vertical="center"/>
    </xf>
    <xf numFmtId="0" fontId="0" fillId="0" borderId="22" xfId="0" applyBorder="1" applyAlignment="1">
      <alignment vertical="center"/>
    </xf>
    <xf numFmtId="0" fontId="3" fillId="0" borderId="87" xfId="0" applyFont="1" applyBorder="1" applyAlignment="1">
      <alignment vertical="center"/>
    </xf>
    <xf numFmtId="0" fontId="2" fillId="0" borderId="61" xfId="0" applyFont="1" applyBorder="1" applyAlignment="1">
      <alignment vertical="center"/>
    </xf>
    <xf numFmtId="0" fontId="0" fillId="0" borderId="6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2" fillId="3" borderId="5" xfId="0" applyFont="1" applyFill="1" applyBorder="1" applyAlignment="1">
      <alignment vertical="center"/>
    </xf>
    <xf numFmtId="0" fontId="2" fillId="3" borderId="0" xfId="0" applyFont="1" applyFill="1" applyBorder="1" applyAlignment="1">
      <alignment vertical="center"/>
    </xf>
    <xf numFmtId="0" fontId="0" fillId="3" borderId="0" xfId="0" applyFill="1" applyBorder="1" applyAlignment="1">
      <alignment vertical="center"/>
    </xf>
    <xf numFmtId="0" fontId="0" fillId="3" borderId="11" xfId="0" applyFill="1" applyBorder="1" applyAlignment="1">
      <alignment vertical="center"/>
    </xf>
    <xf numFmtId="0" fontId="54" fillId="0" borderId="0" xfId="0" applyFont="1" applyBorder="1" applyAlignment="1">
      <alignment vertical="center"/>
    </xf>
    <xf numFmtId="0" fontId="2" fillId="0" borderId="0" xfId="0" applyFont="1" applyFill="1" applyBorder="1" applyAlignment="1">
      <alignment vertical="center"/>
    </xf>
    <xf numFmtId="0" fontId="0" fillId="0" borderId="42" xfId="0" applyBorder="1" applyAlignment="1">
      <alignment horizontal="left" vertical="center"/>
    </xf>
    <xf numFmtId="0" fontId="0" fillId="0" borderId="5" xfId="0" applyFont="1" applyBorder="1" applyAlignment="1">
      <alignment horizontal="left"/>
    </xf>
    <xf numFmtId="0" fontId="67" fillId="0" borderId="88" xfId="0" applyFont="1" applyBorder="1" applyAlignment="1">
      <alignment horizontal="right" vertical="center"/>
    </xf>
    <xf numFmtId="0" fontId="43" fillId="0" borderId="37" xfId="0" applyFont="1" applyBorder="1" applyAlignment="1">
      <alignment horizontal="right"/>
    </xf>
    <xf numFmtId="0" fontId="1" fillId="0" borderId="0" xfId="0" applyFont="1" applyAlignment="1">
      <alignment horizontal="left"/>
    </xf>
    <xf numFmtId="0" fontId="43" fillId="0" borderId="16" xfId="0" applyFont="1" applyBorder="1" applyAlignment="1">
      <alignment horizontal="right"/>
    </xf>
    <xf numFmtId="0" fontId="0" fillId="0" borderId="89" xfId="0" applyFill="1" applyBorder="1"/>
    <xf numFmtId="0" fontId="43" fillId="0" borderId="89" xfId="0" applyFont="1" applyBorder="1" applyAlignment="1">
      <alignment horizontal="right"/>
    </xf>
    <xf numFmtId="0" fontId="0" fillId="0" borderId="89" xfId="0" applyFill="1" applyBorder="1" applyAlignment="1">
      <alignment horizontal="center"/>
    </xf>
    <xf numFmtId="0" fontId="0" fillId="0" borderId="89" xfId="0" applyFont="1" applyFill="1" applyBorder="1"/>
    <xf numFmtId="0" fontId="0" fillId="0" borderId="89" xfId="0" applyFont="1" applyFill="1" applyBorder="1" applyAlignment="1">
      <alignment horizontal="center"/>
    </xf>
    <xf numFmtId="0" fontId="15" fillId="0" borderId="6" xfId="0" applyFont="1" applyBorder="1"/>
    <xf numFmtId="0" fontId="6" fillId="0" borderId="6" xfId="0" applyFont="1" applyFill="1" applyBorder="1"/>
    <xf numFmtId="0" fontId="6" fillId="0" borderId="6" xfId="0" applyFont="1" applyFill="1" applyBorder="1" applyAlignment="1">
      <alignment vertical="center"/>
    </xf>
    <xf numFmtId="0" fontId="0" fillId="0" borderId="15" xfId="0" applyFill="1" applyBorder="1" applyAlignment="1">
      <alignment horizontal="center"/>
    </xf>
    <xf numFmtId="0" fontId="0" fillId="0" borderId="15" xfId="0" applyFill="1" applyBorder="1"/>
    <xf numFmtId="0" fontId="45" fillId="0" borderId="0" xfId="15" applyFont="1" applyFill="1" applyBorder="1"/>
    <xf numFmtId="0" fontId="45" fillId="0" borderId="0" xfId="15" applyFont="1" applyFill="1" applyBorder="1" applyAlignment="1" applyProtection="1">
      <alignment horizontal="center"/>
      <protection locked="0"/>
    </xf>
    <xf numFmtId="0" fontId="43" fillId="0" borderId="6" xfId="0" applyFont="1" applyBorder="1" applyAlignment="1">
      <alignment horizontal="right"/>
    </xf>
    <xf numFmtId="0" fontId="45" fillId="0" borderId="6" xfId="15" applyFont="1" applyFill="1" applyBorder="1"/>
    <xf numFmtId="0" fontId="45" fillId="0" borderId="6" xfId="15" applyFont="1" applyFill="1" applyBorder="1" applyAlignment="1" applyProtection="1">
      <alignment horizontal="center"/>
      <protection locked="0"/>
    </xf>
    <xf numFmtId="0" fontId="21" fillId="0" borderId="6" xfId="15" applyFont="1" applyBorder="1"/>
    <xf numFmtId="0" fontId="45" fillId="0" borderId="6" xfId="15" applyFont="1" applyBorder="1" applyAlignment="1">
      <alignment horizontal="center"/>
    </xf>
    <xf numFmtId="0" fontId="29" fillId="0" borderId="6" xfId="15" applyFont="1" applyBorder="1" applyAlignment="1">
      <alignment horizontal="center"/>
    </xf>
    <xf numFmtId="168" fontId="16" fillId="0" borderId="6" xfId="9" applyFont="1" applyBorder="1">
      <alignment horizontal="center" vertical="center"/>
    </xf>
    <xf numFmtId="1" fontId="30" fillId="0" borderId="6" xfId="10" applyFont="1" applyBorder="1">
      <alignment horizontal="center" vertical="center"/>
    </xf>
    <xf numFmtId="1" fontId="25" fillId="0" borderId="6" xfId="10" applyFont="1" applyBorder="1">
      <alignment horizontal="center" vertical="center"/>
    </xf>
    <xf numFmtId="164" fontId="30" fillId="0" borderId="6" xfId="10" applyNumberFormat="1" applyFont="1" applyBorder="1">
      <alignment horizontal="center" vertical="center"/>
    </xf>
    <xf numFmtId="4" fontId="30" fillId="0" borderId="6" xfId="15" applyNumberFormat="1" applyFont="1" applyBorder="1" applyAlignment="1">
      <alignment horizontal="center"/>
    </xf>
    <xf numFmtId="0" fontId="30" fillId="0" borderId="6" xfId="15" applyFont="1" applyBorder="1" applyAlignment="1">
      <alignment horizontal="center"/>
    </xf>
    <xf numFmtId="0" fontId="6" fillId="0" borderId="6" xfId="0" applyFont="1" applyBorder="1" applyAlignment="1">
      <alignment vertical="center"/>
    </xf>
    <xf numFmtId="0" fontId="6" fillId="0" borderId="6" xfId="0" applyFont="1" applyBorder="1"/>
    <xf numFmtId="0" fontId="0" fillId="0" borderId="6" xfId="0" applyFont="1" applyFill="1" applyBorder="1" applyAlignment="1">
      <alignment horizontal="center" vertical="center"/>
    </xf>
    <xf numFmtId="0" fontId="0" fillId="0" borderId="6" xfId="0" applyFont="1" applyBorder="1" applyAlignment="1">
      <alignment horizontal="center" vertical="center"/>
    </xf>
    <xf numFmtId="0" fontId="45" fillId="0" borderId="6" xfId="0" applyFont="1" applyBorder="1" applyAlignment="1">
      <alignment horizontal="center"/>
    </xf>
    <xf numFmtId="0" fontId="45" fillId="0" borderId="6" xfId="0" applyFont="1" applyFill="1" applyBorder="1" applyAlignment="1">
      <alignment horizontal="center"/>
    </xf>
    <xf numFmtId="0" fontId="6" fillId="0" borderId="6" xfId="0" applyFont="1" applyBorder="1" applyAlignment="1">
      <alignment horizontal="center" vertical="center"/>
    </xf>
    <xf numFmtId="0" fontId="1" fillId="0" borderId="6" xfId="0" applyFont="1" applyBorder="1" applyAlignment="1">
      <alignment horizontal="center"/>
    </xf>
    <xf numFmtId="0" fontId="6" fillId="0" borderId="6" xfId="0" applyFont="1" applyFill="1" applyBorder="1" applyAlignment="1">
      <alignment horizontal="center" vertical="center"/>
    </xf>
    <xf numFmtId="0" fontId="1" fillId="0" borderId="6" xfId="0" applyFont="1" applyBorder="1" applyAlignment="1">
      <alignment vertical="center"/>
    </xf>
    <xf numFmtId="0" fontId="40" fillId="2" borderId="6" xfId="0" applyFont="1" applyFill="1" applyBorder="1" applyAlignment="1">
      <alignment horizontal="center" vertical="center"/>
    </xf>
    <xf numFmtId="0" fontId="45" fillId="0" borderId="6" xfId="0" applyFont="1" applyFill="1" applyBorder="1" applyAlignment="1">
      <alignment horizontal="center" vertical="center"/>
    </xf>
    <xf numFmtId="0" fontId="0" fillId="0" borderId="6" xfId="0" applyFont="1" applyFill="1" applyBorder="1" applyAlignment="1">
      <alignment vertical="center"/>
    </xf>
    <xf numFmtId="0" fontId="2" fillId="0" borderId="6" xfId="0" applyFont="1" applyBorder="1"/>
    <xf numFmtId="0" fontId="45" fillId="0" borderId="6" xfId="0" applyFont="1" applyBorder="1" applyAlignment="1">
      <alignment vertical="center"/>
    </xf>
    <xf numFmtId="164" fontId="21" fillId="0" borderId="6" xfId="15" applyNumberFormat="1" applyFont="1" applyBorder="1" applyAlignment="1">
      <alignment horizontal="left"/>
    </xf>
    <xf numFmtId="0" fontId="21" fillId="0" borderId="12" xfId="15" applyFont="1" applyBorder="1"/>
    <xf numFmtId="0" fontId="29" fillId="0" borderId="15" xfId="15" applyFont="1" applyBorder="1" applyAlignment="1">
      <alignment horizontal="center"/>
    </xf>
    <xf numFmtId="0" fontId="29" fillId="0" borderId="16" xfId="15" applyFont="1" applyBorder="1" applyAlignment="1">
      <alignment horizontal="center"/>
    </xf>
    <xf numFmtId="0" fontId="29" fillId="0" borderId="58" xfId="15" applyFont="1" applyBorder="1" applyAlignment="1">
      <alignment horizontal="center"/>
    </xf>
    <xf numFmtId="0" fontId="29" fillId="0" borderId="66" xfId="15" applyFont="1" applyBorder="1" applyAlignment="1">
      <alignment horizontal="center"/>
    </xf>
    <xf numFmtId="0" fontId="29" fillId="0" borderId="17" xfId="15" applyFont="1" applyBorder="1" applyAlignment="1">
      <alignment horizontal="center"/>
    </xf>
    <xf numFmtId="0" fontId="29" fillId="0" borderId="102" xfId="15" applyFont="1" applyBorder="1" applyAlignment="1">
      <alignment horizontal="center"/>
    </xf>
    <xf numFmtId="0" fontId="45" fillId="0" borderId="15" xfId="15" applyFont="1" applyBorder="1" applyAlignment="1">
      <alignment horizontal="center"/>
    </xf>
    <xf numFmtId="0" fontId="0" fillId="0" borderId="66" xfId="0" applyBorder="1"/>
    <xf numFmtId="0" fontId="43" fillId="0" borderId="0" xfId="0" applyFont="1" applyBorder="1" applyAlignment="1">
      <alignment horizontal="right"/>
    </xf>
    <xf numFmtId="0" fontId="15" fillId="0" borderId="6" xfId="0" applyFont="1" applyBorder="1" applyAlignment="1">
      <alignment wrapText="1"/>
    </xf>
    <xf numFmtId="0" fontId="15" fillId="0" borderId="6" xfId="0" applyFont="1" applyBorder="1" applyAlignment="1">
      <alignment horizontal="center"/>
    </xf>
    <xf numFmtId="0" fontId="25" fillId="0" borderId="6" xfId="0" applyFont="1" applyBorder="1"/>
    <xf numFmtId="0" fontId="15" fillId="10" borderId="6" xfId="0" applyFont="1" applyFill="1" applyBorder="1"/>
    <xf numFmtId="0" fontId="15" fillId="10" borderId="6" xfId="0" applyFont="1" applyFill="1" applyBorder="1" applyAlignment="1">
      <alignment wrapText="1"/>
    </xf>
    <xf numFmtId="0" fontId="15" fillId="10" borderId="6" xfId="0" applyFont="1" applyFill="1" applyBorder="1" applyAlignment="1">
      <alignment horizontal="center"/>
    </xf>
    <xf numFmtId="0" fontId="15" fillId="12" borderId="6" xfId="0" applyFont="1" applyFill="1" applyBorder="1"/>
    <xf numFmtId="0" fontId="15" fillId="12" borderId="6" xfId="0" applyFont="1" applyFill="1" applyBorder="1" applyAlignment="1">
      <alignment wrapText="1"/>
    </xf>
    <xf numFmtId="0" fontId="15" fillId="12" borderId="6" xfId="0" applyFont="1" applyFill="1" applyBorder="1" applyAlignment="1">
      <alignment horizontal="center"/>
    </xf>
    <xf numFmtId="164" fontId="15" fillId="12" borderId="6" xfId="0" applyNumberFormat="1" applyFont="1" applyFill="1" applyBorder="1" applyAlignment="1">
      <alignment horizontal="center"/>
    </xf>
    <xf numFmtId="0" fontId="15" fillId="11" borderId="6" xfId="0" applyFont="1" applyFill="1" applyBorder="1" applyAlignment="1">
      <alignment wrapText="1"/>
    </xf>
    <xf numFmtId="0" fontId="15" fillId="11" borderId="6" xfId="0" applyFont="1" applyFill="1" applyBorder="1" applyAlignment="1">
      <alignment horizontal="center"/>
    </xf>
    <xf numFmtId="0" fontId="15" fillId="0" borderId="12" xfId="0" applyFont="1" applyBorder="1"/>
    <xf numFmtId="0" fontId="15" fillId="0" borderId="13" xfId="0" applyFont="1" applyBorder="1"/>
    <xf numFmtId="0" fontId="15" fillId="10" borderId="15" xfId="0" applyFont="1" applyFill="1" applyBorder="1"/>
    <xf numFmtId="0" fontId="15" fillId="10" borderId="15" xfId="0" applyFont="1" applyFill="1" applyBorder="1" applyAlignment="1">
      <alignment wrapText="1"/>
    </xf>
    <xf numFmtId="0" fontId="15" fillId="10" borderId="15" xfId="0" applyFont="1" applyFill="1" applyBorder="1" applyAlignment="1">
      <alignment horizontal="center"/>
    </xf>
    <xf numFmtId="0" fontId="15" fillId="0" borderId="16" xfId="0" applyFont="1" applyBorder="1"/>
    <xf numFmtId="0" fontId="15" fillId="0" borderId="16" xfId="0" applyFont="1" applyBorder="1" applyAlignment="1">
      <alignment wrapText="1"/>
    </xf>
    <xf numFmtId="0" fontId="15" fillId="0" borderId="16" xfId="0" applyFont="1" applyBorder="1" applyAlignment="1">
      <alignment horizontal="center"/>
    </xf>
    <xf numFmtId="0" fontId="15" fillId="10" borderId="102" xfId="0" applyFont="1" applyFill="1" applyBorder="1" applyAlignment="1">
      <alignment horizontal="center"/>
    </xf>
    <xf numFmtId="0" fontId="15" fillId="10" borderId="103" xfId="0" applyFont="1" applyFill="1" applyBorder="1" applyAlignment="1">
      <alignment horizontal="center"/>
    </xf>
    <xf numFmtId="0" fontId="25" fillId="0" borderId="6" xfId="0" applyFont="1" applyBorder="1" applyAlignment="1">
      <alignment horizontal="center"/>
    </xf>
    <xf numFmtId="0" fontId="40" fillId="0" borderId="6" xfId="0" applyFont="1" applyBorder="1"/>
    <xf numFmtId="0" fontId="16" fillId="0" borderId="6" xfId="0" applyFont="1" applyBorder="1" applyAlignment="1">
      <alignment vertical="center"/>
    </xf>
    <xf numFmtId="3" fontId="1" fillId="0" borderId="6" xfId="0" applyNumberFormat="1" applyFont="1" applyFill="1" applyBorder="1" applyAlignment="1">
      <alignment horizontal="center"/>
    </xf>
    <xf numFmtId="0" fontId="40" fillId="0" borderId="12" xfId="0" applyFont="1" applyBorder="1"/>
    <xf numFmtId="0" fontId="40" fillId="0" borderId="15" xfId="0" applyFont="1" applyBorder="1"/>
    <xf numFmtId="0" fontId="40" fillId="0" borderId="16" xfId="0" applyFont="1" applyBorder="1"/>
    <xf numFmtId="0" fontId="40" fillId="0" borderId="90" xfId="0" applyFont="1" applyBorder="1"/>
    <xf numFmtId="0" fontId="1" fillId="0" borderId="92" xfId="0" applyFont="1" applyFill="1" applyBorder="1" applyAlignment="1">
      <alignment horizontal="center"/>
    </xf>
    <xf numFmtId="0" fontId="40" fillId="0" borderId="57" xfId="0" applyFont="1" applyBorder="1"/>
    <xf numFmtId="0" fontId="40" fillId="0" borderId="57" xfId="0" applyFont="1" applyBorder="1" applyAlignment="1">
      <alignment horizontal="center"/>
    </xf>
    <xf numFmtId="0" fontId="40" fillId="0" borderId="92" xfId="0" applyFont="1" applyBorder="1"/>
    <xf numFmtId="0" fontId="40" fillId="0" borderId="93" xfId="0" applyFont="1" applyBorder="1"/>
    <xf numFmtId="0" fontId="1" fillId="0" borderId="66" xfId="0" applyFont="1" applyBorder="1"/>
    <xf numFmtId="0" fontId="40" fillId="0" borderId="66" xfId="0" applyFont="1" applyBorder="1"/>
    <xf numFmtId="0" fontId="40" fillId="0" borderId="94" xfId="0" applyFont="1" applyBorder="1"/>
    <xf numFmtId="0" fontId="40" fillId="0" borderId="97" xfId="0" applyFont="1" applyBorder="1"/>
    <xf numFmtId="0" fontId="40" fillId="0" borderId="95" xfId="0" applyFont="1" applyBorder="1"/>
    <xf numFmtId="0" fontId="40" fillId="0" borderId="58" xfId="0" applyFont="1" applyBorder="1"/>
    <xf numFmtId="0" fontId="40" fillId="0" borderId="91" xfId="0" applyFont="1" applyBorder="1"/>
    <xf numFmtId="0" fontId="10" fillId="0" borderId="6" xfId="0" applyFont="1" applyBorder="1" applyAlignment="1"/>
    <xf numFmtId="0" fontId="26" fillId="0" borderId="6" xfId="0" applyFont="1" applyBorder="1" applyAlignment="1">
      <alignment horizontal="justify" vertical="center"/>
    </xf>
    <xf numFmtId="0" fontId="26" fillId="0" borderId="6" xfId="0" applyFont="1" applyBorder="1" applyAlignment="1">
      <alignment horizontal="center" vertical="center"/>
    </xf>
    <xf numFmtId="0" fontId="15" fillId="0" borderId="6" xfId="0" applyFont="1" applyBorder="1" applyAlignment="1"/>
    <xf numFmtId="0" fontId="15" fillId="0" borderId="15" xfId="0" applyFont="1" applyBorder="1"/>
    <xf numFmtId="0" fontId="15" fillId="0" borderId="15" xfId="0" applyFont="1" applyBorder="1" applyAlignment="1"/>
    <xf numFmtId="0" fontId="15" fillId="0" borderId="15" xfId="0" applyFont="1" applyBorder="1" applyAlignment="1">
      <alignment horizontal="center"/>
    </xf>
    <xf numFmtId="0" fontId="24" fillId="0" borderId="16" xfId="0" applyFont="1" applyBorder="1" applyAlignment="1"/>
    <xf numFmtId="0" fontId="24" fillId="0" borderId="16" xfId="0" applyFont="1" applyBorder="1" applyAlignment="1">
      <alignment horizontal="center"/>
    </xf>
    <xf numFmtId="0" fontId="15" fillId="0" borderId="90" xfId="0" applyFont="1" applyBorder="1"/>
    <xf numFmtId="0" fontId="15" fillId="0" borderId="58" xfId="0" applyFont="1" applyBorder="1" applyAlignment="1">
      <alignment horizontal="center"/>
    </xf>
    <xf numFmtId="0" fontId="15" fillId="0" borderId="91" xfId="0" applyFont="1" applyBorder="1"/>
    <xf numFmtId="0" fontId="15" fillId="0" borderId="92" xfId="0" applyFont="1" applyBorder="1"/>
    <xf numFmtId="0" fontId="15" fillId="0" borderId="57" xfId="0" applyFont="1" applyBorder="1"/>
    <xf numFmtId="0" fontId="15" fillId="0" borderId="93" xfId="0" applyFont="1" applyBorder="1"/>
    <xf numFmtId="0" fontId="15" fillId="0" borderId="97" xfId="0" applyFont="1" applyBorder="1"/>
    <xf numFmtId="0" fontId="15" fillId="0" borderId="95" xfId="0" applyFont="1" applyBorder="1"/>
    <xf numFmtId="0" fontId="16" fillId="0" borderId="6" xfId="0" applyFont="1" applyFill="1" applyBorder="1"/>
    <xf numFmtId="0" fontId="25" fillId="0" borderId="6" xfId="0" applyFont="1" applyFill="1" applyBorder="1" applyAlignment="1">
      <alignment horizontal="center"/>
    </xf>
    <xf numFmtId="0" fontId="16" fillId="0" borderId="6" xfId="0" applyFont="1" applyFill="1" applyBorder="1" applyAlignment="1">
      <alignment horizontal="center"/>
    </xf>
    <xf numFmtId="0" fontId="17" fillId="0" borderId="6" xfId="0" applyFont="1" applyFill="1" applyBorder="1"/>
    <xf numFmtId="0" fontId="16" fillId="15" borderId="6" xfId="0" applyFont="1" applyFill="1" applyBorder="1" applyAlignment="1">
      <alignment horizontal="justify" vertical="center" wrapText="1"/>
    </xf>
    <xf numFmtId="0" fontId="16" fillId="15" borderId="6" xfId="0" applyFont="1" applyFill="1" applyBorder="1" applyAlignment="1">
      <alignment horizontal="center" vertical="center" wrapText="1"/>
    </xf>
    <xf numFmtId="0" fontId="35" fillId="15" borderId="6" xfId="0" applyFont="1" applyFill="1" applyBorder="1" applyAlignment="1">
      <alignment horizontal="justify" vertical="center" wrapText="1"/>
    </xf>
    <xf numFmtId="0" fontId="16" fillId="10" borderId="6" xfId="0" applyFont="1" applyFill="1" applyBorder="1"/>
    <xf numFmtId="0" fontId="33" fillId="0" borderId="6" xfId="0" applyFont="1" applyFill="1" applyBorder="1" applyAlignment="1">
      <alignment horizontal="justify" vertical="center" wrapText="1"/>
    </xf>
    <xf numFmtId="0" fontId="33" fillId="0" borderId="6" xfId="0" applyFont="1" applyFill="1" applyBorder="1" applyAlignment="1">
      <alignment horizontal="center" vertical="center" wrapText="1"/>
    </xf>
    <xf numFmtId="0" fontId="16" fillId="14" borderId="6" xfId="0" applyFont="1" applyFill="1" applyBorder="1" applyAlignment="1">
      <alignment horizontal="justify" vertical="center" wrapText="1"/>
    </xf>
    <xf numFmtId="0" fontId="16" fillId="14" borderId="6" xfId="0" applyFont="1" applyFill="1" applyBorder="1" applyAlignment="1">
      <alignment horizontal="center" vertical="center" wrapText="1"/>
    </xf>
    <xf numFmtId="0" fontId="16" fillId="0" borderId="6" xfId="0" applyFont="1" applyFill="1" applyBorder="1" applyAlignment="1">
      <alignment horizontal="right"/>
    </xf>
    <xf numFmtId="0" fontId="16" fillId="16" borderId="6" xfId="0" applyFont="1" applyFill="1" applyBorder="1" applyAlignment="1">
      <alignment horizontal="justify" vertical="center" wrapText="1"/>
    </xf>
    <xf numFmtId="0" fontId="35" fillId="16" borderId="6" xfId="0" applyFont="1" applyFill="1" applyBorder="1" applyAlignment="1">
      <alignment horizontal="justify" vertical="center" wrapText="1"/>
    </xf>
    <xf numFmtId="0" fontId="16" fillId="0" borderId="12" xfId="0" applyFont="1" applyFill="1" applyBorder="1"/>
    <xf numFmtId="0" fontId="16" fillId="0" borderId="13" xfId="0" applyFont="1" applyFill="1" applyBorder="1"/>
    <xf numFmtId="0" fontId="16" fillId="0" borderId="15" xfId="0" applyFont="1" applyFill="1" applyBorder="1"/>
    <xf numFmtId="0" fontId="16" fillId="0" borderId="15" xfId="0" applyFont="1" applyFill="1" applyBorder="1" applyAlignment="1">
      <alignment horizontal="center"/>
    </xf>
    <xf numFmtId="0" fontId="16" fillId="0" borderId="16" xfId="0" applyFont="1" applyFill="1" applyBorder="1"/>
    <xf numFmtId="0" fontId="16" fillId="0" borderId="16" xfId="0" applyFont="1" applyFill="1" applyBorder="1" applyAlignment="1">
      <alignment horizontal="center"/>
    </xf>
    <xf numFmtId="0" fontId="16" fillId="0" borderId="90" xfId="0" applyFont="1" applyFill="1" applyBorder="1"/>
    <xf numFmtId="0" fontId="16" fillId="0" borderId="58" xfId="0" applyFont="1" applyFill="1" applyBorder="1"/>
    <xf numFmtId="0" fontId="16" fillId="0" borderId="91" xfId="0" applyFont="1" applyFill="1" applyBorder="1" applyAlignment="1">
      <alignment horizontal="center"/>
    </xf>
    <xf numFmtId="0" fontId="16" fillId="0" borderId="92" xfId="0" applyFont="1" applyFill="1" applyBorder="1"/>
    <xf numFmtId="0" fontId="16" fillId="0" borderId="57" xfId="0" applyFont="1" applyFill="1" applyBorder="1" applyAlignment="1">
      <alignment horizontal="center" vertical="center" wrapText="1"/>
    </xf>
    <xf numFmtId="0" fontId="16" fillId="0" borderId="57" xfId="0" applyFont="1" applyFill="1" applyBorder="1" applyAlignment="1">
      <alignment horizontal="center"/>
    </xf>
    <xf numFmtId="0" fontId="33" fillId="0" borderId="57" xfId="0" applyFont="1" applyFill="1" applyBorder="1" applyAlignment="1">
      <alignment horizontal="center" vertical="center" wrapText="1"/>
    </xf>
    <xf numFmtId="0" fontId="16" fillId="0" borderId="66" xfId="0" applyFont="1" applyFill="1" applyBorder="1"/>
    <xf numFmtId="0" fontId="16" fillId="0" borderId="94" xfId="0" applyFont="1" applyFill="1" applyBorder="1" applyAlignment="1">
      <alignment horizontal="center"/>
    </xf>
    <xf numFmtId="0" fontId="16" fillId="0" borderId="97" xfId="0" applyFont="1" applyFill="1" applyBorder="1"/>
    <xf numFmtId="0" fontId="16" fillId="0" borderId="95" xfId="0" applyFont="1" applyFill="1" applyBorder="1" applyAlignment="1">
      <alignment horizontal="center"/>
    </xf>
    <xf numFmtId="0" fontId="16" fillId="0" borderId="58" xfId="0" applyFont="1" applyFill="1" applyBorder="1" applyAlignment="1">
      <alignment horizontal="center"/>
    </xf>
    <xf numFmtId="0" fontId="16" fillId="0" borderId="91" xfId="0" applyFont="1" applyFill="1" applyBorder="1"/>
    <xf numFmtId="0" fontId="16" fillId="0" borderId="57" xfId="0" applyFont="1" applyFill="1" applyBorder="1"/>
    <xf numFmtId="0" fontId="16" fillId="10" borderId="57" xfId="0" applyFont="1" applyFill="1" applyBorder="1" applyAlignment="1">
      <alignment horizontal="center"/>
    </xf>
    <xf numFmtId="0" fontId="33" fillId="0" borderId="92" xfId="0" applyFont="1" applyFill="1" applyBorder="1" applyAlignment="1">
      <alignment horizontal="justify" vertical="center" wrapText="1"/>
    </xf>
    <xf numFmtId="0" fontId="16" fillId="0" borderId="93" xfId="0" applyFont="1" applyFill="1" applyBorder="1"/>
    <xf numFmtId="0" fontId="16" fillId="0" borderId="66" xfId="0" applyFont="1" applyFill="1" applyBorder="1" applyAlignment="1">
      <alignment horizontal="center"/>
    </xf>
    <xf numFmtId="0" fontId="16" fillId="0" borderId="94" xfId="0" applyFont="1" applyFill="1" applyBorder="1"/>
    <xf numFmtId="0" fontId="16" fillId="0" borderId="95" xfId="0" applyFont="1" applyFill="1" applyBorder="1"/>
    <xf numFmtId="0" fontId="16" fillId="0" borderId="96" xfId="0" applyFont="1" applyFill="1" applyBorder="1"/>
    <xf numFmtId="3" fontId="16" fillId="0" borderId="16" xfId="0" applyNumberFormat="1" applyFont="1" applyFill="1" applyBorder="1" applyAlignment="1">
      <alignment horizontal="center"/>
    </xf>
    <xf numFmtId="0" fontId="36" fillId="0" borderId="16" xfId="0" applyFont="1" applyFill="1" applyBorder="1"/>
    <xf numFmtId="0" fontId="16" fillId="0" borderId="98" xfId="0" applyFont="1" applyFill="1" applyBorder="1"/>
    <xf numFmtId="0" fontId="16" fillId="0" borderId="66" xfId="0" applyFont="1" applyFill="1" applyBorder="1" applyAlignment="1">
      <alignment horizontal="right"/>
    </xf>
    <xf numFmtId="0" fontId="45" fillId="0" borderId="15" xfId="0" applyFont="1" applyFill="1" applyBorder="1" applyAlignment="1">
      <alignment horizontal="center"/>
    </xf>
    <xf numFmtId="0" fontId="0" fillId="0" borderId="58" xfId="0" applyFill="1" applyBorder="1" applyAlignment="1">
      <alignment horizontal="center"/>
    </xf>
    <xf numFmtId="0" fontId="43" fillId="0" borderId="6" xfId="0" applyFont="1" applyFill="1" applyBorder="1" applyAlignment="1">
      <alignment horizontal="right"/>
    </xf>
    <xf numFmtId="0" fontId="6" fillId="0" borderId="90" xfId="0" applyFont="1" applyFill="1" applyBorder="1"/>
    <xf numFmtId="0" fontId="0" fillId="0" borderId="58" xfId="0" applyFill="1" applyBorder="1"/>
    <xf numFmtId="0" fontId="0" fillId="0" borderId="69" xfId="0" applyFill="1" applyBorder="1" applyAlignment="1">
      <alignment horizontal="center"/>
    </xf>
    <xf numFmtId="0" fontId="6" fillId="0" borderId="91" xfId="0" applyFont="1" applyFill="1" applyBorder="1"/>
    <xf numFmtId="0" fontId="6" fillId="0" borderId="92" xfId="0" applyFont="1" applyFill="1" applyBorder="1"/>
    <xf numFmtId="0" fontId="0" fillId="0" borderId="12" xfId="0" applyFill="1" applyBorder="1" applyAlignment="1">
      <alignment horizontal="center"/>
    </xf>
    <xf numFmtId="0" fontId="6" fillId="0" borderId="57" xfId="0" applyFont="1" applyFill="1" applyBorder="1"/>
    <xf numFmtId="0" fontId="6" fillId="0" borderId="12" xfId="0" applyFont="1" applyFill="1" applyBorder="1"/>
    <xf numFmtId="0" fontId="45" fillId="0" borderId="6" xfId="0" applyFont="1" applyFill="1" applyBorder="1"/>
    <xf numFmtId="0" fontId="45" fillId="0" borderId="12" xfId="0" applyFont="1" applyFill="1" applyBorder="1" applyAlignment="1">
      <alignment horizontal="center"/>
    </xf>
    <xf numFmtId="0" fontId="6" fillId="0" borderId="13" xfId="0" applyFont="1" applyFill="1" applyBorder="1"/>
    <xf numFmtId="0" fontId="45" fillId="0" borderId="92" xfId="0" applyFont="1" applyFill="1" applyBorder="1"/>
    <xf numFmtId="0" fontId="42" fillId="0" borderId="57" xfId="0" applyFont="1" applyFill="1" applyBorder="1"/>
    <xf numFmtId="0" fontId="6" fillId="0" borderId="97" xfId="0" applyFont="1" applyFill="1" applyBorder="1"/>
    <xf numFmtId="0" fontId="0" fillId="0" borderId="1" xfId="0" applyFill="1" applyBorder="1" applyAlignment="1">
      <alignment horizontal="center"/>
    </xf>
    <xf numFmtId="0" fontId="6" fillId="0" borderId="95" xfId="0" applyFont="1" applyFill="1" applyBorder="1"/>
    <xf numFmtId="0" fontId="1" fillId="0" borderId="12" xfId="0" applyFont="1" applyFill="1" applyBorder="1" applyAlignment="1">
      <alignment horizontal="center"/>
    </xf>
    <xf numFmtId="0" fontId="6" fillId="0" borderId="93" xfId="0" applyFont="1" applyFill="1" applyBorder="1"/>
    <xf numFmtId="0" fontId="0" fillId="0" borderId="66" xfId="0" applyFill="1" applyBorder="1" applyAlignment="1">
      <alignment horizontal="center"/>
    </xf>
    <xf numFmtId="0" fontId="0" fillId="0" borderId="64" xfId="0" applyFill="1" applyBorder="1" applyAlignment="1">
      <alignment horizontal="center"/>
    </xf>
    <xf numFmtId="0" fontId="6" fillId="0" borderId="94" xfId="0" applyFont="1" applyFill="1" applyBorder="1"/>
    <xf numFmtId="0" fontId="6" fillId="0" borderId="96" xfId="0" applyFont="1" applyFill="1" applyBorder="1"/>
    <xf numFmtId="0" fontId="0" fillId="0" borderId="8" xfId="0" applyFill="1" applyBorder="1" applyAlignment="1">
      <alignment horizontal="center"/>
    </xf>
    <xf numFmtId="0" fontId="0" fillId="0" borderId="90" xfId="0" applyFill="1" applyBorder="1" applyAlignment="1">
      <alignment horizontal="center"/>
    </xf>
    <xf numFmtId="0" fontId="6" fillId="0" borderId="98" xfId="0" applyFont="1" applyFill="1" applyBorder="1"/>
    <xf numFmtId="0" fontId="0" fillId="0" borderId="92" xfId="0" applyFill="1" applyBorder="1" applyAlignment="1">
      <alignment horizontal="center"/>
    </xf>
    <xf numFmtId="0" fontId="0" fillId="0" borderId="92" xfId="0" applyFill="1" applyBorder="1" applyAlignment="1">
      <alignment horizontal="left"/>
    </xf>
    <xf numFmtId="0" fontId="0" fillId="0" borderId="66" xfId="0" applyFill="1" applyBorder="1"/>
    <xf numFmtId="0" fontId="0" fillId="0" borderId="66" xfId="0" applyFill="1" applyBorder="1" applyAlignment="1">
      <alignment horizontal="left"/>
    </xf>
    <xf numFmtId="0" fontId="6" fillId="0" borderId="16" xfId="0" applyFont="1" applyFill="1" applyBorder="1"/>
    <xf numFmtId="0" fontId="0" fillId="0" borderId="93" xfId="0" applyBorder="1"/>
    <xf numFmtId="0" fontId="0" fillId="0" borderId="90" xfId="0" applyFill="1" applyBorder="1"/>
    <xf numFmtId="0" fontId="0" fillId="0" borderId="92" xfId="0" applyFill="1" applyBorder="1"/>
    <xf numFmtId="0" fontId="0" fillId="0" borderId="57" xfId="0" applyFill="1" applyBorder="1" applyAlignment="1">
      <alignment horizontal="center"/>
    </xf>
    <xf numFmtId="0" fontId="0" fillId="0" borderId="97" xfId="0" applyFill="1" applyBorder="1"/>
    <xf numFmtId="0" fontId="0" fillId="0" borderId="95" xfId="0" applyFill="1" applyBorder="1" applyAlignment="1">
      <alignment horizontal="center"/>
    </xf>
    <xf numFmtId="0" fontId="46" fillId="0" borderId="58" xfId="0" applyFont="1" applyFill="1" applyBorder="1" applyAlignment="1">
      <alignment horizontal="center"/>
    </xf>
    <xf numFmtId="0" fontId="46" fillId="0" borderId="91" xfId="0" applyFont="1" applyFill="1" applyBorder="1" applyAlignment="1">
      <alignment horizontal="center"/>
    </xf>
    <xf numFmtId="3" fontId="21" fillId="0" borderId="6" xfId="38" applyFill="1" applyBorder="1">
      <alignment horizontal="center" vertical="center" shrinkToFit="1"/>
    </xf>
    <xf numFmtId="0" fontId="31" fillId="0" borderId="6" xfId="39" applyFont="1" applyFill="1" applyBorder="1"/>
    <xf numFmtId="0" fontId="31" fillId="0" borderId="6" xfId="39" applyFont="1" applyFill="1" applyBorder="1" applyAlignment="1">
      <alignment horizontal="center" wrapText="1"/>
    </xf>
    <xf numFmtId="0" fontId="31" fillId="0" borderId="6" xfId="39" applyFont="1" applyFill="1" applyBorder="1" applyAlignment="1">
      <alignment wrapText="1"/>
    </xf>
    <xf numFmtId="3" fontId="27" fillId="0" borderId="6" xfId="38" applyFont="1" applyFill="1" applyBorder="1">
      <alignment horizontal="center" vertical="center" shrinkToFit="1"/>
    </xf>
    <xf numFmtId="0" fontId="0" fillId="0" borderId="93" xfId="0" applyFill="1" applyBorder="1"/>
    <xf numFmtId="0" fontId="0" fillId="0" borderId="94" xfId="0" applyFill="1" applyBorder="1" applyAlignment="1">
      <alignment horizontal="center"/>
    </xf>
    <xf numFmtId="0" fontId="0" fillId="0" borderId="96" xfId="0" applyFill="1" applyBorder="1"/>
    <xf numFmtId="0" fontId="0" fillId="0" borderId="98" xfId="0" applyFill="1" applyBorder="1" applyAlignment="1">
      <alignment horizontal="center"/>
    </xf>
    <xf numFmtId="0" fontId="1" fillId="0" borderId="6" xfId="0" applyFont="1" applyFill="1" applyBorder="1" applyAlignment="1">
      <alignment horizontal="left"/>
    </xf>
    <xf numFmtId="0" fontId="1" fillId="0" borderId="6" xfId="0" applyFont="1" applyFill="1" applyBorder="1" applyAlignment="1"/>
    <xf numFmtId="0" fontId="0" fillId="0" borderId="6" xfId="0" applyFill="1" applyBorder="1" applyAlignment="1"/>
    <xf numFmtId="0" fontId="53" fillId="17" borderId="6" xfId="0" applyFont="1" applyFill="1" applyBorder="1" applyAlignment="1">
      <alignment horizontal="center"/>
    </xf>
    <xf numFmtId="0" fontId="57" fillId="17" borderId="6" xfId="0" applyFont="1" applyFill="1" applyBorder="1" applyAlignment="1">
      <alignment horizontal="center"/>
    </xf>
    <xf numFmtId="0" fontId="1" fillId="17" borderId="6" xfId="0" applyFont="1" applyFill="1" applyBorder="1" applyAlignment="1">
      <alignment horizontal="center"/>
    </xf>
    <xf numFmtId="164" fontId="4" fillId="0" borderId="6" xfId="0" applyNumberFormat="1" applyFont="1" applyFill="1" applyBorder="1" applyAlignment="1">
      <alignment horizontal="center"/>
    </xf>
    <xf numFmtId="0" fontId="6" fillId="0" borderId="15" xfId="0" applyFont="1" applyFill="1" applyBorder="1"/>
    <xf numFmtId="0" fontId="1" fillId="0" borderId="15" xfId="0" applyFont="1" applyFill="1" applyBorder="1" applyAlignment="1">
      <alignment horizontal="center"/>
    </xf>
    <xf numFmtId="0" fontId="1" fillId="0" borderId="15" xfId="0" applyFont="1" applyFill="1" applyBorder="1" applyAlignment="1"/>
    <xf numFmtId="0" fontId="6" fillId="0" borderId="66" xfId="0" applyFont="1" applyFill="1" applyBorder="1"/>
    <xf numFmtId="14" fontId="0" fillId="0" borderId="0" xfId="0" applyNumberFormat="1" applyFill="1" applyBorder="1" applyAlignment="1">
      <alignment horizontal="left"/>
    </xf>
    <xf numFmtId="3" fontId="0" fillId="0" borderId="6" xfId="0" applyNumberFormat="1" applyFill="1" applyBorder="1" applyAlignment="1">
      <alignment horizontal="left"/>
    </xf>
    <xf numFmtId="0" fontId="2" fillId="0" borderId="13" xfId="0" applyFont="1" applyFill="1" applyBorder="1"/>
    <xf numFmtId="0" fontId="0" fillId="0" borderId="15" xfId="0" applyFill="1" applyBorder="1" applyAlignment="1">
      <alignment horizontal="left"/>
    </xf>
    <xf numFmtId="0" fontId="0" fillId="0" borderId="57" xfId="0" applyFill="1" applyBorder="1"/>
    <xf numFmtId="0" fontId="0" fillId="0" borderId="94" xfId="0" applyFill="1" applyBorder="1"/>
    <xf numFmtId="0" fontId="0" fillId="0" borderId="95" xfId="0" applyFill="1" applyBorder="1"/>
    <xf numFmtId="0" fontId="0" fillId="0" borderId="91" xfId="0" applyFill="1" applyBorder="1"/>
    <xf numFmtId="0" fontId="0" fillId="0" borderId="57" xfId="0" applyFont="1" applyFill="1" applyBorder="1" applyAlignment="1">
      <alignment horizontal="center"/>
    </xf>
    <xf numFmtId="0" fontId="0" fillId="0" borderId="12" xfId="0" applyFont="1" applyFill="1" applyBorder="1"/>
    <xf numFmtId="0" fontId="0" fillId="0" borderId="1" xfId="0" applyFill="1" applyBorder="1"/>
    <xf numFmtId="0" fontId="0" fillId="0" borderId="13" xfId="0" applyFill="1" applyBorder="1" applyAlignment="1">
      <alignment horizontal="center"/>
    </xf>
    <xf numFmtId="0" fontId="0" fillId="0" borderId="13" xfId="0" applyFont="1" applyFill="1" applyBorder="1" applyAlignment="1">
      <alignment horizontal="center"/>
    </xf>
    <xf numFmtId="0" fontId="0" fillId="0" borderId="92" xfId="0" applyFont="1" applyFill="1" applyBorder="1" applyAlignment="1">
      <alignment horizontal="center"/>
    </xf>
    <xf numFmtId="0" fontId="0" fillId="0" borderId="98" xfId="0" applyFill="1" applyBorder="1"/>
    <xf numFmtId="0" fontId="1" fillId="0" borderId="66" xfId="0" applyFont="1" applyFill="1" applyBorder="1" applyAlignment="1">
      <alignment horizontal="center"/>
    </xf>
    <xf numFmtId="0" fontId="0" fillId="0" borderId="97" xfId="0" applyFill="1" applyBorder="1" applyAlignment="1">
      <alignment horizontal="center"/>
    </xf>
    <xf numFmtId="0" fontId="0" fillId="0" borderId="12" xfId="0" applyFont="1" applyFill="1" applyBorder="1" applyAlignment="1">
      <alignment horizontal="center"/>
    </xf>
    <xf numFmtId="0" fontId="0" fillId="0" borderId="64" xfId="0" applyFill="1" applyBorder="1"/>
    <xf numFmtId="0" fontId="0" fillId="0" borderId="67" xfId="0" applyFill="1" applyBorder="1"/>
    <xf numFmtId="0" fontId="1" fillId="0" borderId="14" xfId="0" applyFont="1" applyFill="1" applyBorder="1"/>
    <xf numFmtId="0" fontId="0" fillId="0" borderId="70" xfId="0" applyFill="1" applyBorder="1"/>
    <xf numFmtId="0" fontId="0" fillId="0" borderId="78" xfId="0" applyFont="1" applyFill="1" applyBorder="1"/>
    <xf numFmtId="0" fontId="45" fillId="0" borderId="78" xfId="0" applyFont="1" applyFill="1" applyBorder="1" applyAlignment="1">
      <alignment horizontal="center"/>
    </xf>
    <xf numFmtId="0" fontId="4" fillId="10" borderId="70" xfId="0" applyFont="1" applyFill="1" applyBorder="1"/>
    <xf numFmtId="3" fontId="1" fillId="11" borderId="57" xfId="0" applyNumberFormat="1" applyFont="1" applyFill="1" applyBorder="1" applyAlignment="1">
      <alignment horizontal="center"/>
    </xf>
    <xf numFmtId="0" fontId="0" fillId="0" borderId="100" xfId="0" applyBorder="1"/>
    <xf numFmtId="0" fontId="40" fillId="0" borderId="14" xfId="0" applyFont="1" applyBorder="1"/>
    <xf numFmtId="0" fontId="0" fillId="2" borderId="0" xfId="0" applyFill="1" applyProtection="1">
      <protection locked="0"/>
    </xf>
    <xf numFmtId="0" fontId="2" fillId="2" borderId="0" xfId="0" applyFont="1" applyFill="1" applyProtection="1">
      <protection locked="0"/>
    </xf>
    <xf numFmtId="0" fontId="0" fillId="2" borderId="0" xfId="0" applyFill="1" applyAlignment="1" applyProtection="1">
      <alignment vertical="center"/>
      <protection locked="0"/>
    </xf>
    <xf numFmtId="0" fontId="0" fillId="2" borderId="5" xfId="0" applyFill="1" applyBorder="1" applyAlignment="1" applyProtection="1">
      <alignment vertical="center"/>
      <protection locked="0"/>
    </xf>
    <xf numFmtId="0" fontId="0" fillId="2" borderId="5" xfId="0" applyFill="1" applyBorder="1" applyProtection="1">
      <protection locked="0"/>
    </xf>
    <xf numFmtId="0" fontId="0" fillId="2" borderId="0" xfId="0" applyFill="1" applyBorder="1" applyProtection="1">
      <protection locked="0"/>
    </xf>
    <xf numFmtId="0" fontId="0" fillId="2" borderId="0" xfId="0" applyFill="1" applyBorder="1" applyAlignment="1" applyProtection="1">
      <alignment vertical="center"/>
      <protection locked="0"/>
    </xf>
    <xf numFmtId="0" fontId="0" fillId="0" borderId="12" xfId="0" applyFont="1" applyBorder="1" applyAlignment="1">
      <alignment horizontal="left" indent="1"/>
    </xf>
    <xf numFmtId="0" fontId="5" fillId="0" borderId="8" xfId="0" applyFont="1" applyBorder="1" applyAlignment="1">
      <alignment vertical="center"/>
    </xf>
    <xf numFmtId="0" fontId="5" fillId="0" borderId="1" xfId="0" applyFont="1" applyBorder="1" applyAlignment="1">
      <alignment vertical="center"/>
    </xf>
    <xf numFmtId="164" fontId="1" fillId="0" borderId="6" xfId="0" applyNumberFormat="1" applyFont="1" applyFill="1" applyBorder="1" applyAlignment="1">
      <alignment horizontal="right"/>
    </xf>
    <xf numFmtId="0" fontId="34" fillId="0" borderId="12" xfId="40" applyBorder="1" applyAlignment="1">
      <alignment horizontal="left" indent="1"/>
    </xf>
    <xf numFmtId="0" fontId="0" fillId="0" borderId="13" xfId="0" applyFont="1" applyBorder="1" applyAlignment="1">
      <alignment vertical="center"/>
    </xf>
    <xf numFmtId="0" fontId="6" fillId="0" borderId="15" xfId="0" applyFont="1" applyBorder="1" applyAlignment="1">
      <alignment vertical="center"/>
    </xf>
    <xf numFmtId="0" fontId="6" fillId="0" borderId="16" xfId="0" applyFont="1" applyFill="1" applyBorder="1" applyAlignment="1">
      <alignment horizontal="center" vertical="center"/>
    </xf>
    <xf numFmtId="0" fontId="0" fillId="0" borderId="57" xfId="0" applyFont="1" applyBorder="1" applyAlignment="1">
      <alignment horizontal="center" vertical="center"/>
    </xf>
    <xf numFmtId="0" fontId="0" fillId="0" borderId="57" xfId="0" applyFont="1" applyFill="1" applyBorder="1" applyAlignment="1">
      <alignment horizontal="center" vertical="center"/>
    </xf>
    <xf numFmtId="0" fontId="6" fillId="0" borderId="66" xfId="0" applyFont="1" applyFill="1" applyBorder="1" applyAlignment="1">
      <alignment horizontal="center" vertical="center"/>
    </xf>
    <xf numFmtId="0" fontId="0" fillId="0" borderId="66" xfId="0" applyFont="1" applyBorder="1" applyAlignment="1">
      <alignment vertical="center"/>
    </xf>
    <xf numFmtId="0" fontId="0" fillId="0" borderId="66" xfId="0" applyFont="1" applyBorder="1"/>
    <xf numFmtId="0" fontId="6" fillId="0" borderId="66" xfId="0" applyFont="1" applyBorder="1" applyAlignment="1">
      <alignment vertical="center"/>
    </xf>
    <xf numFmtId="0" fontId="0" fillId="0" borderId="94" xfId="0" applyFont="1" applyBorder="1" applyAlignment="1">
      <alignment horizontal="center" vertical="center"/>
    </xf>
    <xf numFmtId="0" fontId="0" fillId="0" borderId="66" xfId="0" applyFont="1" applyBorder="1" applyAlignment="1">
      <alignment wrapText="1"/>
    </xf>
    <xf numFmtId="0" fontId="6" fillId="0" borderId="16" xfId="0" applyFont="1" applyBorder="1" applyAlignment="1">
      <alignment vertical="center"/>
    </xf>
    <xf numFmtId="0" fontId="6" fillId="0" borderId="58" xfId="0" applyFont="1" applyFill="1" applyBorder="1" applyAlignment="1">
      <alignment horizontal="center" vertical="center"/>
    </xf>
    <xf numFmtId="0" fontId="0" fillId="0" borderId="91" xfId="0" applyFont="1" applyBorder="1" applyAlignment="1">
      <alignment horizontal="center" vertical="center"/>
    </xf>
    <xf numFmtId="0" fontId="6" fillId="0" borderId="58" xfId="0" applyFont="1" applyBorder="1" applyAlignment="1">
      <alignment vertical="center"/>
    </xf>
    <xf numFmtId="0" fontId="1" fillId="0" borderId="12" xfId="0" applyFont="1" applyFill="1" applyBorder="1" applyAlignment="1">
      <alignment horizontal="center" vertical="center"/>
    </xf>
    <xf numFmtId="0" fontId="0" fillId="0" borderId="13" xfId="0" applyFont="1" applyBorder="1"/>
    <xf numFmtId="0" fontId="0" fillId="0" borderId="16" xfId="0" applyFont="1" applyBorder="1" applyAlignment="1">
      <alignment vertical="center"/>
    </xf>
    <xf numFmtId="0" fontId="0" fillId="0" borderId="57" xfId="0" applyFont="1" applyBorder="1"/>
    <xf numFmtId="0" fontId="0" fillId="0" borderId="12" xfId="0" applyFont="1" applyFill="1" applyBorder="1" applyAlignment="1">
      <alignment vertical="center"/>
    </xf>
    <xf numFmtId="0" fontId="0" fillId="0" borderId="16" xfId="0" applyFont="1" applyBorder="1"/>
    <xf numFmtId="0" fontId="0" fillId="0" borderId="58" xfId="0" applyFont="1" applyBorder="1"/>
    <xf numFmtId="0" fontId="0" fillId="24" borderId="12" xfId="0" applyFont="1" applyFill="1" applyBorder="1"/>
    <xf numFmtId="0" fontId="6" fillId="24" borderId="58" xfId="0" applyFont="1" applyFill="1" applyBorder="1" applyAlignment="1">
      <alignment vertical="center"/>
    </xf>
    <xf numFmtId="0" fontId="0" fillId="24" borderId="58" xfId="0" applyFont="1" applyFill="1" applyBorder="1" applyAlignment="1">
      <alignment vertical="center"/>
    </xf>
    <xf numFmtId="0" fontId="45" fillId="24" borderId="58" xfId="0" applyFont="1" applyFill="1" applyBorder="1" applyAlignment="1">
      <alignment horizontal="center" vertical="center"/>
    </xf>
    <xf numFmtId="0" fontId="0" fillId="24" borderId="58" xfId="0" applyFont="1" applyFill="1" applyBorder="1"/>
    <xf numFmtId="0" fontId="0" fillId="24" borderId="13" xfId="0" applyFont="1" applyFill="1" applyBorder="1" applyAlignment="1">
      <alignment vertical="center"/>
    </xf>
    <xf numFmtId="0" fontId="0" fillId="24" borderId="6" xfId="0" applyFont="1" applyFill="1" applyBorder="1" applyAlignment="1">
      <alignment vertical="center"/>
    </xf>
    <xf numFmtId="0" fontId="6" fillId="24" borderId="58" xfId="0" applyFont="1" applyFill="1" applyBorder="1" applyAlignment="1">
      <alignment horizontal="center" vertical="center"/>
    </xf>
    <xf numFmtId="0" fontId="0" fillId="24" borderId="58" xfId="0" applyFont="1" applyFill="1" applyBorder="1" applyAlignment="1">
      <alignment wrapText="1"/>
    </xf>
    <xf numFmtId="0" fontId="6" fillId="24" borderId="58" xfId="0" applyFont="1" applyFill="1" applyBorder="1" applyAlignment="1">
      <alignment horizontal="left" vertical="center" wrapText="1"/>
    </xf>
    <xf numFmtId="0" fontId="0" fillId="24" borderId="91" xfId="0" applyFont="1" applyFill="1" applyBorder="1" applyAlignment="1">
      <alignment horizontal="center" vertical="center"/>
    </xf>
    <xf numFmtId="0" fontId="1" fillId="24" borderId="12" xfId="0" applyFont="1" applyFill="1" applyBorder="1" applyAlignment="1">
      <alignment horizontal="center" vertical="center"/>
    </xf>
    <xf numFmtId="0" fontId="0" fillId="24" borderId="12" xfId="0" applyFont="1" applyFill="1" applyBorder="1" applyAlignment="1">
      <alignment vertical="center"/>
    </xf>
    <xf numFmtId="0" fontId="45" fillId="0" borderId="15" xfId="0" applyFont="1" applyBorder="1" applyAlignment="1">
      <alignment horizontal="center"/>
    </xf>
    <xf numFmtId="0" fontId="1" fillId="0" borderId="15" xfId="0" applyFont="1" applyBorder="1" applyAlignment="1">
      <alignment horizontal="center"/>
    </xf>
    <xf numFmtId="0" fontId="0" fillId="0" borderId="15" xfId="0" applyFont="1" applyBorder="1" applyAlignment="1">
      <alignment horizontal="center" vertical="center"/>
    </xf>
    <xf numFmtId="0" fontId="0" fillId="24" borderId="16" xfId="0" applyFont="1" applyFill="1" applyBorder="1"/>
    <xf numFmtId="0" fontId="6" fillId="24" borderId="16" xfId="0" applyFont="1" applyFill="1" applyBorder="1" applyAlignment="1">
      <alignment vertical="center"/>
    </xf>
    <xf numFmtId="0" fontId="0" fillId="24" borderId="12" xfId="0" applyFill="1" applyBorder="1"/>
    <xf numFmtId="0" fontId="45" fillId="24" borderId="92" xfId="0" applyFont="1" applyFill="1" applyBorder="1"/>
    <xf numFmtId="0" fontId="45" fillId="24" borderId="6" xfId="0" applyFont="1" applyFill="1" applyBorder="1" applyAlignment="1">
      <alignment horizontal="center"/>
    </xf>
    <xf numFmtId="0" fontId="0" fillId="24" borderId="6" xfId="0" applyFill="1" applyBorder="1" applyAlignment="1">
      <alignment horizontal="center"/>
    </xf>
    <xf numFmtId="0" fontId="0" fillId="24" borderId="13" xfId="0" applyFill="1" applyBorder="1"/>
    <xf numFmtId="0" fontId="6" fillId="24" borderId="90" xfId="0" applyFont="1" applyFill="1" applyBorder="1"/>
    <xf numFmtId="0" fontId="6" fillId="24" borderId="58" xfId="0" applyFont="1" applyFill="1" applyBorder="1"/>
    <xf numFmtId="0" fontId="6" fillId="24" borderId="96" xfId="0" applyFont="1" applyFill="1" applyBorder="1"/>
    <xf numFmtId="0" fontId="6" fillId="24" borderId="16" xfId="0" applyFont="1" applyFill="1" applyBorder="1"/>
    <xf numFmtId="0" fontId="0" fillId="24" borderId="16" xfId="0" applyFill="1" applyBorder="1" applyAlignment="1">
      <alignment horizontal="center"/>
    </xf>
    <xf numFmtId="0" fontId="2" fillId="0" borderId="5" xfId="0" applyFont="1" applyFill="1" applyBorder="1"/>
    <xf numFmtId="0" fontId="0" fillId="0" borderId="0" xfId="0" applyFill="1"/>
    <xf numFmtId="0" fontId="2" fillId="0" borderId="0" xfId="0" applyFont="1" applyFill="1" applyBorder="1"/>
    <xf numFmtId="0" fontId="45" fillId="0" borderId="16" xfId="0" applyFont="1" applyFill="1" applyBorder="1" applyAlignment="1">
      <alignment horizontal="center"/>
    </xf>
    <xf numFmtId="0" fontId="69" fillId="0" borderId="6" xfId="0" applyFont="1" applyFill="1" applyBorder="1" applyAlignment="1">
      <alignment horizontal="left"/>
    </xf>
    <xf numFmtId="0" fontId="6" fillId="24" borderId="6" xfId="0" applyFont="1" applyFill="1" applyBorder="1" applyAlignment="1">
      <alignment horizontal="center" vertical="center" wrapText="1"/>
    </xf>
    <xf numFmtId="0" fontId="0" fillId="0" borderId="6" xfId="0" applyFont="1" applyFill="1" applyBorder="1" applyAlignment="1">
      <alignment horizontal="left"/>
    </xf>
    <xf numFmtId="0" fontId="40" fillId="0" borderId="6" xfId="0" applyFont="1" applyFill="1" applyBorder="1" applyAlignment="1">
      <alignment horizontal="left"/>
    </xf>
    <xf numFmtId="0" fontId="45" fillId="0" borderId="6" xfId="0" applyFont="1" applyBorder="1" applyAlignment="1">
      <alignment horizontal="right" vertical="top"/>
    </xf>
    <xf numFmtId="0" fontId="45" fillId="0" borderId="6" xfId="0" applyFont="1" applyBorder="1" applyAlignment="1">
      <alignment horizontal="center" vertical="top"/>
    </xf>
    <xf numFmtId="0" fontId="0" fillId="0" borderId="92" xfId="0" applyFont="1" applyFill="1" applyBorder="1"/>
    <xf numFmtId="164" fontId="0" fillId="0" borderId="6" xfId="0" applyNumberFormat="1" applyFont="1" applyFill="1" applyBorder="1" applyAlignment="1">
      <alignment horizontal="center"/>
    </xf>
    <xf numFmtId="0" fontId="0" fillId="0" borderId="13" xfId="0" applyFont="1" applyFill="1" applyBorder="1"/>
    <xf numFmtId="0" fontId="2" fillId="0" borderId="5" xfId="0" applyFont="1" applyFill="1" applyBorder="1" applyAlignment="1">
      <alignment vertical="center"/>
    </xf>
    <xf numFmtId="0" fontId="0" fillId="18" borderId="13" xfId="0" applyFont="1" applyFill="1" applyBorder="1" applyAlignment="1">
      <alignment vertical="center"/>
    </xf>
    <xf numFmtId="0" fontId="6" fillId="0" borderId="16" xfId="0" applyFont="1" applyFill="1" applyBorder="1" applyAlignment="1">
      <alignment vertical="center"/>
    </xf>
    <xf numFmtId="0" fontId="6" fillId="0" borderId="80" xfId="0" applyFont="1" applyBorder="1" applyAlignment="1">
      <alignment vertical="center"/>
    </xf>
    <xf numFmtId="0" fontId="0" fillId="24" borderId="105" xfId="0" applyFont="1" applyFill="1" applyBorder="1"/>
    <xf numFmtId="0" fontId="6" fillId="0" borderId="78" xfId="0" applyFont="1" applyBorder="1" applyAlignment="1">
      <alignment vertical="center"/>
    </xf>
    <xf numFmtId="0" fontId="45" fillId="0" borderId="78" xfId="0" applyFont="1" applyBorder="1" applyAlignment="1">
      <alignment horizontal="center" vertical="center"/>
    </xf>
    <xf numFmtId="0" fontId="45" fillId="0" borderId="80" xfId="0" applyFont="1" applyBorder="1" applyAlignment="1">
      <alignment horizontal="center" vertical="center"/>
    </xf>
    <xf numFmtId="0" fontId="45" fillId="24" borderId="79" xfId="0" applyFont="1" applyFill="1" applyBorder="1" applyAlignment="1">
      <alignment horizontal="center" vertical="center"/>
    </xf>
    <xf numFmtId="0" fontId="45" fillId="0" borderId="79" xfId="0" applyFont="1" applyBorder="1" applyAlignment="1">
      <alignment horizontal="center" vertical="center"/>
    </xf>
    <xf numFmtId="0" fontId="6" fillId="24" borderId="79" xfId="0" applyFont="1" applyFill="1" applyBorder="1" applyAlignment="1">
      <alignment vertical="center"/>
    </xf>
    <xf numFmtId="0" fontId="6" fillId="0" borderId="67" xfId="0" applyFont="1" applyBorder="1" applyAlignment="1">
      <alignment vertical="center"/>
    </xf>
    <xf numFmtId="0" fontId="45" fillId="24" borderId="10" xfId="0" applyFont="1" applyFill="1" applyBorder="1" applyAlignment="1">
      <alignment horizontal="center" vertical="center"/>
    </xf>
    <xf numFmtId="0" fontId="45" fillId="0" borderId="13" xfId="0" applyFont="1" applyBorder="1" applyAlignment="1">
      <alignment horizontal="center" vertical="center"/>
    </xf>
    <xf numFmtId="0" fontId="45" fillId="0" borderId="13" xfId="0" applyFont="1" applyFill="1" applyBorder="1" applyAlignment="1">
      <alignment horizontal="center" vertical="center"/>
    </xf>
    <xf numFmtId="0" fontId="45" fillId="0" borderId="67" xfId="0" applyFont="1" applyBorder="1" applyAlignment="1">
      <alignment horizontal="center" vertical="center"/>
    </xf>
    <xf numFmtId="0" fontId="45" fillId="24" borderId="71" xfId="0" applyFont="1" applyFill="1" applyBorder="1" applyAlignment="1">
      <alignment horizontal="center" vertical="center"/>
    </xf>
    <xf numFmtId="0" fontId="45" fillId="0" borderId="71" xfId="0" applyFont="1" applyBorder="1" applyAlignment="1">
      <alignment horizontal="center" vertical="center"/>
    </xf>
    <xf numFmtId="0" fontId="6" fillId="0" borderId="94" xfId="0" applyFont="1" applyFill="1" applyBorder="1" applyAlignment="1">
      <alignment vertical="center"/>
    </xf>
    <xf numFmtId="0" fontId="6" fillId="0" borderId="92" xfId="0" applyFont="1" applyFill="1" applyBorder="1" applyAlignment="1">
      <alignment vertical="center"/>
    </xf>
    <xf numFmtId="0" fontId="0" fillId="0" borderId="57" xfId="0" applyFont="1" applyFill="1" applyBorder="1" applyAlignment="1">
      <alignment vertical="center"/>
    </xf>
    <xf numFmtId="0" fontId="6" fillId="0" borderId="93" xfId="0" applyFont="1" applyFill="1" applyBorder="1" applyAlignment="1">
      <alignment vertical="center"/>
    </xf>
    <xf numFmtId="0" fontId="0" fillId="0" borderId="94" xfId="0" applyFont="1" applyFill="1" applyBorder="1" applyAlignment="1">
      <alignment vertical="center"/>
    </xf>
    <xf numFmtId="0" fontId="6" fillId="0" borderId="57" xfId="0" applyFont="1" applyFill="1" applyBorder="1" applyAlignment="1">
      <alignment vertical="center"/>
    </xf>
    <xf numFmtId="0" fontId="6" fillId="0" borderId="91" xfId="0" applyFont="1" applyFill="1" applyBorder="1" applyAlignment="1">
      <alignment vertical="center"/>
    </xf>
    <xf numFmtId="0" fontId="6" fillId="24" borderId="96" xfId="0" applyFont="1" applyFill="1" applyBorder="1" applyAlignment="1">
      <alignment vertical="center"/>
    </xf>
    <xf numFmtId="0" fontId="0" fillId="24" borderId="98" xfId="0" applyFont="1" applyFill="1" applyBorder="1" applyAlignment="1">
      <alignment vertical="center"/>
    </xf>
    <xf numFmtId="0" fontId="6" fillId="24" borderId="92" xfId="0" applyFont="1" applyFill="1" applyBorder="1" applyAlignment="1">
      <alignment vertical="center"/>
    </xf>
    <xf numFmtId="0" fontId="0" fillId="24" borderId="57" xfId="0" applyFont="1" applyFill="1" applyBorder="1" applyAlignment="1">
      <alignment vertical="center"/>
    </xf>
    <xf numFmtId="0" fontId="6" fillId="24" borderId="57" xfId="0" applyFont="1" applyFill="1" applyBorder="1" applyAlignment="1">
      <alignment vertical="center"/>
    </xf>
    <xf numFmtId="1" fontId="0" fillId="0" borderId="0" xfId="0" applyNumberFormat="1"/>
    <xf numFmtId="0" fontId="45" fillId="0" borderId="78" xfId="0" applyFont="1" applyFill="1" applyBorder="1" applyAlignment="1">
      <alignment horizontal="center" vertical="center"/>
    </xf>
    <xf numFmtId="0" fontId="40" fillId="0" borderId="6" xfId="0" applyFont="1" applyFill="1" applyBorder="1" applyAlignment="1">
      <alignment vertical="center"/>
    </xf>
    <xf numFmtId="164" fontId="15" fillId="10" borderId="6" xfId="0" applyNumberFormat="1" applyFont="1" applyFill="1" applyBorder="1" applyAlignment="1">
      <alignment horizontal="center"/>
    </xf>
    <xf numFmtId="0" fontId="0" fillId="0" borderId="66" xfId="0" applyFont="1" applyFill="1" applyBorder="1"/>
    <xf numFmtId="0" fontId="6" fillId="0" borderId="97" xfId="0" applyFont="1" applyFill="1" applyBorder="1" applyAlignment="1">
      <alignment vertical="center"/>
    </xf>
    <xf numFmtId="0" fontId="0" fillId="0" borderId="95" xfId="0" applyFont="1" applyFill="1" applyBorder="1" applyAlignment="1">
      <alignment vertical="center"/>
    </xf>
    <xf numFmtId="0" fontId="6" fillId="0" borderId="15" xfId="0" applyFont="1" applyFill="1" applyBorder="1" applyAlignment="1">
      <alignment horizontal="center" vertical="center"/>
    </xf>
    <xf numFmtId="0" fontId="15" fillId="0" borderId="15" xfId="0" applyFont="1" applyFill="1" applyBorder="1" applyAlignment="1">
      <alignment vertical="center"/>
    </xf>
    <xf numFmtId="0" fontId="0" fillId="0" borderId="15" xfId="0" applyFont="1" applyFill="1" applyBorder="1"/>
    <xf numFmtId="0" fontId="0" fillId="0" borderId="95" xfId="0" applyFont="1" applyFill="1" applyBorder="1" applyAlignment="1">
      <alignment horizontal="center" vertical="center"/>
    </xf>
    <xf numFmtId="0" fontId="0" fillId="24" borderId="0" xfId="0" applyFill="1" applyBorder="1" applyAlignment="1">
      <alignment vertical="center" shrinkToFit="1"/>
    </xf>
    <xf numFmtId="2" fontId="51" fillId="0" borderId="12" xfId="0" applyNumberFormat="1" applyFont="1" applyFill="1" applyBorder="1" applyAlignment="1">
      <alignment horizontal="left"/>
    </xf>
    <xf numFmtId="2" fontId="51" fillId="2" borderId="12" xfId="0" applyNumberFormat="1" applyFont="1" applyFill="1" applyBorder="1" applyAlignment="1" applyProtection="1">
      <alignment horizontal="left"/>
      <protection locked="0"/>
    </xf>
    <xf numFmtId="170" fontId="51" fillId="2" borderId="6" xfId="0" applyNumberFormat="1" applyFont="1" applyFill="1" applyBorder="1" applyAlignment="1" applyProtection="1">
      <alignment horizontal="center" vertical="center"/>
      <protection locked="0"/>
    </xf>
    <xf numFmtId="0" fontId="43" fillId="0" borderId="1" xfId="0" applyFont="1" applyBorder="1" applyAlignment="1">
      <alignment vertical="center"/>
    </xf>
    <xf numFmtId="0" fontId="6" fillId="14" borderId="28" xfId="0" applyFont="1" applyFill="1" applyBorder="1" applyAlignment="1">
      <alignment horizontal="center" vertical="center"/>
    </xf>
    <xf numFmtId="0" fontId="0" fillId="14" borderId="0" xfId="0" applyFill="1" applyAlignment="1">
      <alignment vertical="center"/>
    </xf>
    <xf numFmtId="0" fontId="0" fillId="14" borderId="0" xfId="0" applyFill="1" applyBorder="1" applyAlignment="1">
      <alignment vertical="center"/>
    </xf>
    <xf numFmtId="0" fontId="6" fillId="0" borderId="78" xfId="0" applyFont="1" applyFill="1" applyBorder="1"/>
    <xf numFmtId="0" fontId="6" fillId="0" borderId="104" xfId="0" applyFont="1" applyFill="1" applyBorder="1"/>
    <xf numFmtId="0" fontId="0" fillId="0" borderId="16" xfId="0" applyFill="1" applyBorder="1" applyAlignment="1">
      <alignment horizontal="right"/>
    </xf>
    <xf numFmtId="0" fontId="58" fillId="0" borderId="39" xfId="0" applyFont="1" applyBorder="1" applyAlignment="1">
      <alignment horizontal="right" vertical="center"/>
    </xf>
    <xf numFmtId="0" fontId="72" fillId="0" borderId="6" xfId="0" applyFont="1" applyFill="1" applyBorder="1" applyAlignment="1">
      <alignment horizontal="center"/>
    </xf>
    <xf numFmtId="0" fontId="38" fillId="12" borderId="6" xfId="0" applyFont="1" applyFill="1" applyBorder="1" applyAlignment="1">
      <alignment horizontal="right"/>
    </xf>
    <xf numFmtId="0" fontId="38" fillId="12" borderId="6" xfId="0" applyFont="1" applyFill="1" applyBorder="1" applyAlignment="1">
      <alignment horizontal="left"/>
    </xf>
    <xf numFmtId="1" fontId="0" fillId="4" borderId="15" xfId="0" applyNumberFormat="1" applyFont="1" applyFill="1" applyBorder="1"/>
    <xf numFmtId="0" fontId="53" fillId="0" borderId="78" xfId="0" applyFont="1" applyFill="1" applyBorder="1"/>
    <xf numFmtId="0" fontId="74" fillId="0" borderId="14" xfId="0" applyFont="1" applyFill="1" applyBorder="1" applyAlignment="1">
      <alignment horizontal="right"/>
    </xf>
    <xf numFmtId="0" fontId="53" fillId="0" borderId="14" xfId="0" applyFont="1" applyFill="1" applyBorder="1"/>
    <xf numFmtId="2" fontId="0" fillId="0" borderId="14" xfId="0" applyNumberFormat="1" applyFont="1" applyFill="1" applyBorder="1"/>
    <xf numFmtId="0" fontId="0" fillId="0" borderId="6" xfId="0" applyFont="1" applyBorder="1" applyAlignment="1">
      <alignment horizontal="left" vertical="center"/>
    </xf>
    <xf numFmtId="0" fontId="33" fillId="0" borderId="6" xfId="0" applyFont="1" applyFill="1" applyBorder="1"/>
    <xf numFmtId="0" fontId="33" fillId="16" borderId="6" xfId="0" applyFont="1" applyFill="1" applyBorder="1"/>
    <xf numFmtId="9" fontId="33" fillId="16" borderId="6" xfId="0" applyNumberFormat="1" applyFont="1" applyFill="1" applyBorder="1" applyAlignment="1">
      <alignment horizontal="center"/>
    </xf>
    <xf numFmtId="0" fontId="75" fillId="16" borderId="6" xfId="0" applyFont="1" applyFill="1" applyBorder="1" applyAlignment="1">
      <alignment horizontal="justify" vertical="center" wrapText="1"/>
    </xf>
    <xf numFmtId="0" fontId="33" fillId="0" borderId="57" xfId="0" applyFont="1" applyFill="1" applyBorder="1" applyAlignment="1">
      <alignment horizontal="center"/>
    </xf>
    <xf numFmtId="0" fontId="0" fillId="27" borderId="6" xfId="0" applyFill="1" applyBorder="1" applyAlignment="1">
      <alignment horizontal="center"/>
    </xf>
    <xf numFmtId="0" fontId="0" fillId="27" borderId="6" xfId="0" applyFill="1" applyBorder="1"/>
    <xf numFmtId="0" fontId="29" fillId="0" borderId="66" xfId="0" applyFont="1" applyFill="1" applyBorder="1" applyAlignment="1">
      <alignment horizontal="center" vertical="center"/>
    </xf>
    <xf numFmtId="0" fontId="16" fillId="0" borderId="12" xfId="0" applyFont="1" applyFill="1" applyBorder="1" applyAlignment="1">
      <alignment horizontal="right"/>
    </xf>
    <xf numFmtId="0" fontId="16" fillId="0" borderId="101" xfId="0" applyFont="1" applyFill="1" applyBorder="1"/>
    <xf numFmtId="0" fontId="16" fillId="0" borderId="102" xfId="0" applyFont="1" applyFill="1" applyBorder="1"/>
    <xf numFmtId="0" fontId="16" fillId="0" borderId="102" xfId="0" applyFont="1" applyFill="1" applyBorder="1" applyAlignment="1">
      <alignment horizontal="right"/>
    </xf>
    <xf numFmtId="0" fontId="16" fillId="0" borderId="103" xfId="0" applyFont="1" applyFill="1" applyBorder="1" applyAlignment="1">
      <alignment horizontal="center"/>
    </xf>
    <xf numFmtId="3" fontId="21" fillId="0" borderId="28" xfId="38" applyBorder="1" applyProtection="1">
      <alignment horizontal="center" vertical="center" shrinkToFit="1"/>
      <protection locked="0"/>
    </xf>
    <xf numFmtId="3" fontId="21" fillId="0" borderId="29" xfId="38" applyBorder="1" applyProtection="1">
      <alignment horizontal="center" vertical="center" shrinkToFit="1"/>
      <protection locked="0"/>
    </xf>
    <xf numFmtId="0" fontId="0" fillId="0" borderId="0" xfId="0" applyFont="1" applyBorder="1" applyAlignment="1">
      <alignment horizontal="left" vertical="top" wrapText="1"/>
    </xf>
    <xf numFmtId="0" fontId="6" fillId="0" borderId="9" xfId="0" applyFont="1" applyBorder="1"/>
    <xf numFmtId="1" fontId="0" fillId="4" borderId="16" xfId="0" applyNumberFormat="1" applyFill="1" applyBorder="1"/>
    <xf numFmtId="3" fontId="27" fillId="0" borderId="40" xfId="38" applyFont="1" applyBorder="1" applyProtection="1">
      <alignment horizontal="center" vertical="center" shrinkToFit="1"/>
      <protection locked="0"/>
    </xf>
    <xf numFmtId="0" fontId="0" fillId="4" borderId="6" xfId="0" applyFont="1" applyFill="1" applyBorder="1" applyAlignment="1">
      <alignment horizontal="center"/>
    </xf>
    <xf numFmtId="0" fontId="0" fillId="12" borderId="16" xfId="0" applyFill="1" applyBorder="1"/>
    <xf numFmtId="0" fontId="0" fillId="12" borderId="16" xfId="0" applyFill="1" applyBorder="1" applyAlignment="1">
      <alignment horizontal="right"/>
    </xf>
    <xf numFmtId="3" fontId="1" fillId="12" borderId="16" xfId="0" applyNumberFormat="1" applyFont="1" applyFill="1" applyBorder="1" applyAlignment="1">
      <alignment horizontal="center"/>
    </xf>
    <xf numFmtId="0" fontId="0" fillId="12" borderId="94" xfId="0" applyFont="1" applyFill="1" applyBorder="1" applyAlignment="1">
      <alignment horizontal="center" vertical="center"/>
    </xf>
    <xf numFmtId="0" fontId="0" fillId="12" borderId="13" xfId="0" applyFont="1" applyFill="1" applyBorder="1" applyAlignment="1">
      <alignment vertical="center"/>
    </xf>
    <xf numFmtId="0" fontId="6" fillId="0" borderId="95" xfId="0" applyFont="1" applyFill="1" applyBorder="1" applyAlignment="1">
      <alignment vertical="center"/>
    </xf>
    <xf numFmtId="0" fontId="45" fillId="0" borderId="10"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17" xfId="0" applyFont="1" applyFill="1" applyBorder="1" applyAlignment="1">
      <alignment vertical="center"/>
    </xf>
    <xf numFmtId="0" fontId="0" fillId="0" borderId="17" xfId="0" applyFont="1" applyFill="1" applyBorder="1"/>
    <xf numFmtId="0" fontId="6" fillId="0" borderId="17" xfId="0" applyFont="1" applyFill="1" applyBorder="1" applyAlignment="1">
      <alignment vertical="center"/>
    </xf>
    <xf numFmtId="0" fontId="0" fillId="12" borderId="100" xfId="0" applyFont="1" applyFill="1" applyBorder="1" applyAlignment="1">
      <alignment horizontal="center" vertical="center"/>
    </xf>
    <xf numFmtId="0" fontId="0" fillId="12" borderId="16" xfId="0" applyFont="1" applyFill="1" applyBorder="1" applyAlignment="1">
      <alignment horizontal="center" vertical="center"/>
    </xf>
    <xf numFmtId="3" fontId="78" fillId="0" borderId="6" xfId="38" applyFont="1" applyFill="1" applyBorder="1">
      <alignment horizontal="center" vertical="center" shrinkToFit="1"/>
    </xf>
    <xf numFmtId="0" fontId="79" fillId="0" borderId="6" xfId="39" applyFont="1" applyFill="1" applyBorder="1"/>
    <xf numFmtId="0" fontId="79" fillId="0" borderId="6" xfId="39" applyFont="1" applyFill="1" applyBorder="1" applyAlignment="1">
      <alignment horizontal="center" wrapText="1"/>
    </xf>
    <xf numFmtId="0" fontId="80" fillId="0" borderId="57" xfId="0" applyFont="1" applyFill="1" applyBorder="1" applyAlignment="1">
      <alignment horizontal="center"/>
    </xf>
    <xf numFmtId="0" fontId="1" fillId="0" borderId="66" xfId="0" applyFont="1" applyBorder="1" applyAlignment="1">
      <alignment horizontal="center"/>
    </xf>
    <xf numFmtId="3" fontId="1" fillId="16" borderId="6" xfId="0" applyNumberFormat="1" applyFont="1" applyFill="1" applyBorder="1" applyAlignment="1">
      <alignment horizontal="center"/>
    </xf>
    <xf numFmtId="0" fontId="40" fillId="0" borderId="57" xfId="0" applyFont="1" applyBorder="1" applyAlignment="1">
      <alignment horizontal="center" vertical="center"/>
    </xf>
    <xf numFmtId="0" fontId="6" fillId="0" borderId="6" xfId="0" applyFont="1" applyBorder="1" applyAlignment="1">
      <alignment horizontal="left" vertical="center" wrapText="1"/>
    </xf>
    <xf numFmtId="0" fontId="0" fillId="0" borderId="6" xfId="0" applyFont="1" applyBorder="1" applyAlignment="1">
      <alignment wrapText="1"/>
    </xf>
    <xf numFmtId="0" fontId="6" fillId="0" borderId="66" xfId="0" applyFont="1" applyBorder="1" applyAlignment="1">
      <alignment horizontal="left" vertical="center" wrapText="1"/>
    </xf>
    <xf numFmtId="0" fontId="1" fillId="0" borderId="6" xfId="0" applyFont="1" applyFill="1" applyBorder="1" applyAlignment="1">
      <alignment horizontal="center" vertical="center"/>
    </xf>
    <xf numFmtId="0" fontId="0" fillId="24" borderId="92" xfId="0" applyFill="1" applyBorder="1"/>
    <xf numFmtId="0" fontId="0" fillId="24" borderId="92" xfId="0" applyFill="1" applyBorder="1" applyAlignment="1">
      <alignment horizontal="center"/>
    </xf>
    <xf numFmtId="0" fontId="0" fillId="24" borderId="12" xfId="0" applyFill="1" applyBorder="1" applyAlignment="1">
      <alignment horizontal="center"/>
    </xf>
    <xf numFmtId="0" fontId="0" fillId="24" borderId="12" xfId="0" applyFont="1" applyFill="1" applyBorder="1" applyAlignment="1">
      <alignment horizontal="center" textRotation="90"/>
    </xf>
    <xf numFmtId="0" fontId="0" fillId="24" borderId="57" xfId="0" applyFill="1" applyBorder="1"/>
    <xf numFmtId="0" fontId="6" fillId="0" borderId="92" xfId="0" applyFont="1" applyFill="1" applyBorder="1" applyAlignment="1">
      <alignment horizontal="center"/>
    </xf>
    <xf numFmtId="0" fontId="6" fillId="0" borderId="12" xfId="0" applyFont="1" applyFill="1" applyBorder="1" applyAlignment="1">
      <alignment horizontal="center"/>
    </xf>
    <xf numFmtId="0" fontId="15" fillId="24" borderId="6" xfId="0" applyFont="1" applyFill="1" applyBorder="1"/>
    <xf numFmtId="0" fontId="6" fillId="0" borderId="15" xfId="0" applyFont="1" applyBorder="1"/>
    <xf numFmtId="0" fontId="6" fillId="0" borderId="66" xfId="0" applyFont="1" applyBorder="1"/>
    <xf numFmtId="0" fontId="6" fillId="24" borderId="6" xfId="0" applyFont="1" applyFill="1" applyBorder="1"/>
    <xf numFmtId="0" fontId="6" fillId="0" borderId="15" xfId="0" applyFont="1" applyFill="1" applyBorder="1" applyAlignment="1">
      <alignment horizontal="right"/>
    </xf>
    <xf numFmtId="0" fontId="6" fillId="0" borderId="58" xfId="0" applyFont="1" applyFill="1" applyBorder="1" applyAlignment="1">
      <alignment horizontal="right"/>
    </xf>
    <xf numFmtId="0" fontId="6" fillId="0" borderId="6" xfId="0" applyFont="1" applyFill="1" applyBorder="1" applyAlignment="1">
      <alignment horizontal="right"/>
    </xf>
    <xf numFmtId="0" fontId="6" fillId="0" borderId="16" xfId="0" applyFont="1" applyBorder="1"/>
    <xf numFmtId="0" fontId="45" fillId="0" borderId="6" xfId="0" applyFont="1" applyFill="1" applyBorder="1" applyAlignment="1">
      <alignment horizontal="right"/>
    </xf>
    <xf numFmtId="0" fontId="45" fillId="0" borderId="57" xfId="0" applyFont="1" applyFill="1" applyBorder="1" applyAlignment="1">
      <alignment horizontal="center"/>
    </xf>
    <xf numFmtId="0" fontId="45" fillId="0" borderId="92" xfId="0" applyFont="1" applyFill="1" applyBorder="1" applyAlignment="1">
      <alignment horizontal="center"/>
    </xf>
    <xf numFmtId="0" fontId="15" fillId="24" borderId="6" xfId="0" applyFont="1" applyFill="1" applyBorder="1" applyAlignment="1">
      <alignment horizontal="center"/>
    </xf>
    <xf numFmtId="0" fontId="6" fillId="24" borderId="6" xfId="0" applyFont="1" applyFill="1" applyBorder="1" applyAlignment="1">
      <alignment horizontal="center"/>
    </xf>
    <xf numFmtId="0" fontId="45" fillId="0" borderId="6" xfId="0" applyFont="1" applyFill="1" applyBorder="1" applyAlignment="1">
      <alignment vertical="top"/>
    </xf>
    <xf numFmtId="0" fontId="40" fillId="24" borderId="12" xfId="0" applyFont="1" applyFill="1" applyBorder="1"/>
    <xf numFmtId="0" fontId="40" fillId="24" borderId="90" xfId="0" applyFont="1" applyFill="1" applyBorder="1"/>
    <xf numFmtId="0" fontId="40" fillId="24" borderId="13" xfId="0" applyFont="1" applyFill="1" applyBorder="1"/>
    <xf numFmtId="0" fontId="40" fillId="24" borderId="6" xfId="0" applyFont="1" applyFill="1" applyBorder="1"/>
    <xf numFmtId="0" fontId="68" fillId="0" borderId="13" xfId="0" applyFont="1" applyFill="1" applyBorder="1"/>
    <xf numFmtId="0" fontId="6" fillId="24" borderId="78" xfId="0" applyFont="1" applyFill="1" applyBorder="1"/>
    <xf numFmtId="0" fontId="2" fillId="24" borderId="13" xfId="0" applyFont="1" applyFill="1" applyBorder="1"/>
    <xf numFmtId="0" fontId="6" fillId="24" borderId="79" xfId="0" applyFont="1" applyFill="1" applyBorder="1"/>
    <xf numFmtId="0" fontId="0" fillId="0" borderId="8" xfId="0" applyFont="1" applyFill="1" applyBorder="1"/>
    <xf numFmtId="0" fontId="0" fillId="0" borderId="58" xfId="0" applyFont="1" applyFill="1" applyBorder="1" applyAlignment="1">
      <alignment horizontal="center"/>
    </xf>
    <xf numFmtId="0" fontId="0" fillId="0" borderId="8" xfId="0" applyFont="1" applyFill="1" applyBorder="1" applyAlignment="1">
      <alignment horizontal="center"/>
    </xf>
    <xf numFmtId="0" fontId="0" fillId="0" borderId="92" xfId="0" applyFont="1" applyFill="1" applyBorder="1" applyAlignment="1">
      <alignment horizontal="left"/>
    </xf>
    <xf numFmtId="0" fontId="0" fillId="0" borderId="6" xfId="0" applyFont="1" applyFill="1" applyBorder="1" applyAlignment="1"/>
    <xf numFmtId="0" fontId="0" fillId="24" borderId="92" xfId="0" applyFont="1" applyFill="1" applyBorder="1" applyAlignment="1">
      <alignment horizontal="center"/>
    </xf>
    <xf numFmtId="0" fontId="0" fillId="24" borderId="12" xfId="0" applyFont="1" applyFill="1" applyBorder="1" applyAlignment="1">
      <alignment horizontal="center"/>
    </xf>
    <xf numFmtId="0" fontId="0" fillId="24" borderId="57" xfId="0" applyFont="1" applyFill="1" applyBorder="1" applyAlignment="1">
      <alignment horizontal="center"/>
    </xf>
    <xf numFmtId="0" fontId="0" fillId="24" borderId="13" xfId="0" applyFont="1" applyFill="1" applyBorder="1" applyAlignment="1">
      <alignment horizontal="center"/>
    </xf>
    <xf numFmtId="0" fontId="0" fillId="24" borderId="6" xfId="0" applyFont="1" applyFill="1" applyBorder="1" applyAlignment="1">
      <alignment horizontal="center"/>
    </xf>
    <xf numFmtId="0" fontId="15" fillId="24" borderId="6" xfId="0" applyFont="1" applyFill="1" applyBorder="1" applyAlignment="1">
      <alignment horizontal="center" wrapText="1"/>
    </xf>
    <xf numFmtId="0" fontId="0" fillId="24" borderId="6" xfId="0" applyFont="1" applyFill="1" applyBorder="1" applyAlignment="1">
      <alignment horizontal="center" wrapText="1"/>
    </xf>
    <xf numFmtId="0" fontId="0" fillId="24" borderId="6" xfId="0" applyFont="1" applyFill="1" applyBorder="1" applyAlignment="1">
      <alignment horizontal="right"/>
    </xf>
    <xf numFmtId="0" fontId="40" fillId="24" borderId="58" xfId="0" applyFont="1" applyFill="1" applyBorder="1" applyAlignment="1">
      <alignment vertical="center"/>
    </xf>
    <xf numFmtId="0" fontId="40" fillId="24" borderId="91" xfId="0" applyFont="1" applyFill="1" applyBorder="1"/>
    <xf numFmtId="0" fontId="0" fillId="0" borderId="79" xfId="0" applyFont="1" applyFill="1" applyBorder="1"/>
    <xf numFmtId="0" fontId="0" fillId="0" borderId="70" xfId="0" applyFont="1" applyFill="1" applyBorder="1"/>
    <xf numFmtId="0" fontId="0" fillId="24" borderId="79" xfId="0" applyFont="1" applyFill="1" applyBorder="1"/>
    <xf numFmtId="0" fontId="0" fillId="24" borderId="70" xfId="0" applyFont="1" applyFill="1" applyBorder="1"/>
    <xf numFmtId="0" fontId="0" fillId="24" borderId="70" xfId="0" applyFill="1" applyBorder="1"/>
    <xf numFmtId="0" fontId="0" fillId="24" borderId="91" xfId="0" applyFill="1" applyBorder="1"/>
    <xf numFmtId="0" fontId="0" fillId="24" borderId="14" xfId="0" applyFill="1" applyBorder="1"/>
    <xf numFmtId="0" fontId="0" fillId="24" borderId="78" xfId="0" applyFont="1" applyFill="1" applyBorder="1"/>
    <xf numFmtId="0" fontId="0" fillId="24" borderId="14" xfId="0" applyFont="1" applyFill="1" applyBorder="1"/>
    <xf numFmtId="0" fontId="0" fillId="24" borderId="91" xfId="0" applyFont="1" applyFill="1" applyBorder="1"/>
    <xf numFmtId="0" fontId="0" fillId="24" borderId="57" xfId="0" applyFont="1" applyFill="1" applyBorder="1"/>
    <xf numFmtId="3" fontId="0" fillId="0" borderId="14" xfId="0" applyNumberFormat="1" applyFont="1" applyFill="1" applyBorder="1"/>
    <xf numFmtId="0" fontId="1" fillId="0" borderId="104" xfId="0" applyFont="1" applyFill="1" applyBorder="1" applyAlignment="1">
      <alignment horizontal="center"/>
    </xf>
    <xf numFmtId="0" fontId="4" fillId="10" borderId="53" xfId="0" applyFont="1" applyFill="1" applyBorder="1" applyAlignment="1">
      <alignment horizontal="center"/>
    </xf>
    <xf numFmtId="3" fontId="1" fillId="11" borderId="78" xfId="0" applyNumberFormat="1" applyFont="1" applyFill="1" applyBorder="1" applyAlignment="1">
      <alignment horizontal="center"/>
    </xf>
    <xf numFmtId="0" fontId="0" fillId="0" borderId="104" xfId="0" applyFont="1" applyFill="1" applyBorder="1"/>
    <xf numFmtId="0" fontId="0" fillId="0" borderId="80" xfId="0" applyFont="1" applyFill="1" applyBorder="1"/>
    <xf numFmtId="0" fontId="0" fillId="0" borderId="91" xfId="0" applyFont="1" applyFill="1" applyBorder="1"/>
    <xf numFmtId="0" fontId="0" fillId="0" borderId="57" xfId="0" applyFont="1" applyFill="1" applyBorder="1"/>
    <xf numFmtId="0" fontId="0" fillId="0" borderId="95" xfId="0" applyFont="1" applyFill="1" applyBorder="1"/>
    <xf numFmtId="0" fontId="81" fillId="0" borderId="14" xfId="0" applyFont="1" applyFill="1" applyBorder="1"/>
    <xf numFmtId="0" fontId="81" fillId="0" borderId="79" xfId="0" applyFont="1" applyFill="1" applyBorder="1"/>
    <xf numFmtId="0" fontId="81" fillId="0" borderId="70" xfId="0" applyFont="1" applyFill="1" applyBorder="1"/>
    <xf numFmtId="0" fontId="81" fillId="0" borderId="78" xfId="0" applyFont="1" applyFill="1" applyBorder="1"/>
    <xf numFmtId="0" fontId="81" fillId="0" borderId="77" xfId="0" applyFont="1" applyBorder="1"/>
    <xf numFmtId="3" fontId="1" fillId="0" borderId="77" xfId="0" applyNumberFormat="1" applyFont="1" applyFill="1" applyBorder="1" applyAlignment="1">
      <alignment horizontal="center"/>
    </xf>
    <xf numFmtId="0" fontId="81" fillId="0" borderId="65" xfId="0" applyFont="1" applyFill="1" applyBorder="1"/>
    <xf numFmtId="0" fontId="81" fillId="0" borderId="80" xfId="0" applyFont="1" applyFill="1" applyBorder="1"/>
    <xf numFmtId="0" fontId="82" fillId="0" borderId="65" xfId="0" applyFont="1" applyFill="1" applyBorder="1"/>
    <xf numFmtId="0" fontId="0" fillId="0" borderId="65" xfId="0" applyFont="1" applyFill="1" applyBorder="1"/>
    <xf numFmtId="0" fontId="81" fillId="0" borderId="2" xfId="0" applyFont="1" applyFill="1" applyBorder="1"/>
    <xf numFmtId="0" fontId="81" fillId="0" borderId="0" xfId="0" applyFont="1" applyBorder="1"/>
    <xf numFmtId="2" fontId="0" fillId="0" borderId="65" xfId="0" applyNumberFormat="1" applyFont="1" applyFill="1" applyBorder="1"/>
    <xf numFmtId="0" fontId="0" fillId="0" borderId="94" xfId="0" applyFont="1" applyFill="1" applyBorder="1"/>
    <xf numFmtId="0" fontId="6" fillId="0" borderId="6" xfId="0" applyFont="1" applyFill="1" applyBorder="1" applyAlignment="1"/>
    <xf numFmtId="0" fontId="1" fillId="0" borderId="12" xfId="0" applyFont="1" applyFill="1" applyBorder="1" applyAlignment="1">
      <alignment horizontal="right"/>
    </xf>
    <xf numFmtId="0" fontId="6" fillId="24" borderId="92" xfId="0" applyFont="1" applyFill="1" applyBorder="1"/>
    <xf numFmtId="0" fontId="6" fillId="24" borderId="57" xfId="0" applyFont="1" applyFill="1" applyBorder="1"/>
    <xf numFmtId="0" fontId="0" fillId="0" borderId="15" xfId="0" applyFont="1" applyFill="1" applyBorder="1" applyAlignment="1">
      <alignment horizontal="center"/>
    </xf>
    <xf numFmtId="0" fontId="0" fillId="0" borderId="58" xfId="0" applyFont="1" applyFill="1" applyBorder="1"/>
    <xf numFmtId="0" fontId="0" fillId="0" borderId="6" xfId="0" applyFont="1" applyFill="1" applyBorder="1" applyAlignment="1">
      <alignment horizontal="right"/>
    </xf>
    <xf numFmtId="3" fontId="0" fillId="0" borderId="6" xfId="0" applyNumberFormat="1" applyFont="1" applyFill="1" applyBorder="1" applyAlignment="1">
      <alignment horizontal="center"/>
    </xf>
    <xf numFmtId="0" fontId="0" fillId="0" borderId="66" xfId="0" applyFont="1" applyFill="1" applyBorder="1" applyAlignment="1">
      <alignment horizontal="right"/>
    </xf>
    <xf numFmtId="0" fontId="0" fillId="0" borderId="66" xfId="0" applyFont="1" applyFill="1" applyBorder="1" applyAlignment="1">
      <alignment horizontal="left"/>
    </xf>
    <xf numFmtId="0" fontId="0" fillId="0" borderId="66" xfId="0" applyFont="1" applyFill="1" applyBorder="1" applyAlignment="1">
      <alignment horizontal="center"/>
    </xf>
    <xf numFmtId="0" fontId="0" fillId="0" borderId="64" xfId="0" applyFont="1" applyFill="1" applyBorder="1" applyAlignment="1">
      <alignment horizontal="center"/>
    </xf>
    <xf numFmtId="0" fontId="0" fillId="24" borderId="96" xfId="0" applyFill="1" applyBorder="1"/>
    <xf numFmtId="0" fontId="0" fillId="24" borderId="8" xfId="0" applyFont="1" applyFill="1" applyBorder="1"/>
    <xf numFmtId="0" fontId="0" fillId="24" borderId="90" xfId="0" applyFont="1" applyFill="1" applyBorder="1" applyAlignment="1">
      <alignment horizontal="center"/>
    </xf>
    <xf numFmtId="0" fontId="0" fillId="24" borderId="58" xfId="0" applyFont="1" applyFill="1" applyBorder="1" applyAlignment="1">
      <alignment horizontal="center"/>
    </xf>
    <xf numFmtId="0" fontId="0" fillId="24" borderId="58" xfId="0" applyFont="1" applyFill="1" applyBorder="1" applyAlignment="1">
      <alignment horizontal="right"/>
    </xf>
    <xf numFmtId="0" fontId="0" fillId="24" borderId="91" xfId="0" applyFont="1" applyFill="1" applyBorder="1" applyAlignment="1">
      <alignment horizontal="center"/>
    </xf>
    <xf numFmtId="0" fontId="1" fillId="24" borderId="10" xfId="0" applyFont="1" applyFill="1" applyBorder="1" applyAlignment="1">
      <alignment horizontal="left"/>
    </xf>
    <xf numFmtId="0" fontId="1" fillId="24" borderId="16" xfId="0" applyFont="1" applyFill="1" applyBorder="1" applyAlignment="1">
      <alignment horizontal="left" indent="1"/>
    </xf>
    <xf numFmtId="0" fontId="0" fillId="24" borderId="16" xfId="0" applyFont="1" applyFill="1" applyBorder="1" applyAlignment="1">
      <alignment horizontal="center"/>
    </xf>
    <xf numFmtId="0" fontId="0" fillId="24" borderId="8" xfId="0" applyFont="1" applyFill="1" applyBorder="1" applyAlignment="1">
      <alignment horizontal="center"/>
    </xf>
    <xf numFmtId="0" fontId="0" fillId="24" borderId="90" xfId="0" applyFill="1" applyBorder="1" applyAlignment="1">
      <alignment horizontal="center"/>
    </xf>
    <xf numFmtId="0" fontId="0" fillId="24" borderId="98" xfId="0" applyFill="1" applyBorder="1"/>
    <xf numFmtId="0" fontId="0" fillId="24" borderId="13" xfId="0" applyFont="1" applyFill="1" applyBorder="1" applyAlignment="1">
      <alignment horizontal="left"/>
    </xf>
    <xf numFmtId="0" fontId="0" fillId="24" borderId="92" xfId="0" applyFont="1" applyFill="1" applyBorder="1" applyAlignment="1">
      <alignment horizontal="left"/>
    </xf>
    <xf numFmtId="0" fontId="0" fillId="24" borderId="6" xfId="0" applyFont="1" applyFill="1" applyBorder="1" applyAlignment="1"/>
    <xf numFmtId="0" fontId="45" fillId="24" borderId="6" xfId="0" applyFont="1" applyFill="1" applyBorder="1" applyAlignment="1">
      <alignment horizontal="center" textRotation="90"/>
    </xf>
    <xf numFmtId="0" fontId="6" fillId="24" borderId="92" xfId="0" applyFont="1" applyFill="1" applyBorder="1" applyAlignment="1">
      <alignment horizontal="center"/>
    </xf>
    <xf numFmtId="0" fontId="6" fillId="24" borderId="12" xfId="0" applyFont="1" applyFill="1" applyBorder="1" applyAlignment="1">
      <alignment horizontal="center"/>
    </xf>
    <xf numFmtId="0" fontId="6" fillId="24" borderId="57" xfId="0" applyFont="1" applyFill="1" applyBorder="1" applyAlignment="1">
      <alignment horizontal="center"/>
    </xf>
    <xf numFmtId="0" fontId="6" fillId="24" borderId="13" xfId="0" applyFont="1" applyFill="1" applyBorder="1" applyAlignment="1">
      <alignment horizontal="center"/>
    </xf>
    <xf numFmtId="0" fontId="38" fillId="24" borderId="92" xfId="0" applyFont="1" applyFill="1" applyBorder="1" applyAlignment="1">
      <alignment horizontal="center" wrapText="1"/>
    </xf>
    <xf numFmtId="0" fontId="38" fillId="24" borderId="6" xfId="0" applyFont="1" applyFill="1" applyBorder="1" applyAlignment="1">
      <alignment horizontal="center" wrapText="1"/>
    </xf>
    <xf numFmtId="0" fontId="0" fillId="0" borderId="69" xfId="0" applyFont="1" applyFill="1" applyBorder="1"/>
    <xf numFmtId="0" fontId="0" fillId="0" borderId="90" xfId="0" applyFont="1" applyFill="1" applyBorder="1" applyAlignment="1">
      <alignment horizontal="left"/>
    </xf>
    <xf numFmtId="3" fontId="0" fillId="0" borderId="6" xfId="0" applyNumberFormat="1" applyFont="1" applyFill="1" applyBorder="1"/>
    <xf numFmtId="0" fontId="45" fillId="13" borderId="6" xfId="0" applyFont="1" applyFill="1" applyBorder="1" applyAlignment="1">
      <alignment horizontal="center"/>
    </xf>
    <xf numFmtId="2" fontId="0" fillId="0" borderId="6" xfId="0" applyNumberFormat="1" applyFont="1" applyFill="1" applyBorder="1" applyAlignment="1">
      <alignment horizontal="right"/>
    </xf>
    <xf numFmtId="3" fontId="0" fillId="0" borderId="6" xfId="0" applyNumberFormat="1" applyFont="1" applyFill="1" applyBorder="1" applyAlignment="1">
      <alignment horizontal="right"/>
    </xf>
    <xf numFmtId="2" fontId="0" fillId="0" borderId="6" xfId="0" applyNumberFormat="1" applyFont="1" applyFill="1" applyBorder="1"/>
    <xf numFmtId="3" fontId="0" fillId="0" borderId="6" xfId="0" applyNumberFormat="1" applyFont="1" applyFill="1" applyBorder="1" applyAlignment="1">
      <alignment horizontal="left"/>
    </xf>
    <xf numFmtId="0" fontId="0" fillId="0" borderId="64" xfId="0" applyFont="1" applyBorder="1"/>
    <xf numFmtId="0" fontId="0" fillId="0" borderId="93" xfId="0" applyFont="1" applyFill="1" applyBorder="1"/>
    <xf numFmtId="0" fontId="6" fillId="0" borderId="6" xfId="0" applyFont="1" applyBorder="1" applyAlignment="1"/>
    <xf numFmtId="0" fontId="40" fillId="0" borderId="6" xfId="0" applyFont="1" applyBorder="1" applyAlignment="1">
      <alignment horizontal="left"/>
    </xf>
    <xf numFmtId="0" fontId="15" fillId="0" borderId="58" xfId="0" applyFont="1" applyBorder="1" applyAlignment="1"/>
    <xf numFmtId="3" fontId="15" fillId="0" borderId="58" xfId="0" applyNumberFormat="1" applyFont="1" applyBorder="1" applyAlignment="1">
      <alignment horizontal="center"/>
    </xf>
    <xf numFmtId="0" fontId="15" fillId="0" borderId="66" xfId="0" applyFont="1" applyBorder="1" applyAlignment="1">
      <alignment horizontal="left"/>
    </xf>
    <xf numFmtId="0" fontId="15" fillId="0" borderId="66" xfId="0" applyFont="1" applyBorder="1" applyAlignment="1"/>
    <xf numFmtId="0" fontId="15" fillId="0" borderId="66" xfId="0" applyFont="1" applyBorder="1" applyAlignment="1">
      <alignment horizontal="center"/>
    </xf>
    <xf numFmtId="0" fontId="15" fillId="0" borderId="94" xfId="0" applyFont="1" applyBorder="1" applyAlignment="1">
      <alignment horizontal="center"/>
    </xf>
    <xf numFmtId="0" fontId="15" fillId="24" borderId="12" xfId="0" applyFont="1" applyFill="1" applyBorder="1"/>
    <xf numFmtId="0" fontId="15" fillId="24" borderId="90" xfId="0" applyFont="1" applyFill="1" applyBorder="1"/>
    <xf numFmtId="0" fontId="15" fillId="24" borderId="58" xfId="0" applyFont="1" applyFill="1" applyBorder="1" applyAlignment="1"/>
    <xf numFmtId="0" fontId="15" fillId="24" borderId="58" xfId="0" applyFont="1" applyFill="1" applyBorder="1"/>
    <xf numFmtId="0" fontId="15" fillId="24" borderId="58" xfId="0" applyFont="1" applyFill="1" applyBorder="1" applyAlignment="1">
      <alignment horizontal="center"/>
    </xf>
    <xf numFmtId="0" fontId="15" fillId="24" borderId="91" xfId="0" applyFont="1" applyFill="1" applyBorder="1"/>
    <xf numFmtId="0" fontId="15" fillId="24" borderId="13" xfId="0" applyFont="1" applyFill="1" applyBorder="1"/>
    <xf numFmtId="0" fontId="45" fillId="0" borderId="92" xfId="0" applyFont="1" applyBorder="1"/>
    <xf numFmtId="0" fontId="0" fillId="0" borderId="12" xfId="0" applyBorder="1" applyAlignment="1"/>
    <xf numFmtId="0" fontId="0" fillId="0" borderId="14" xfId="0" applyBorder="1" applyAlignment="1"/>
    <xf numFmtId="0" fontId="0" fillId="0" borderId="13" xfId="0" applyBorder="1" applyAlignment="1"/>
    <xf numFmtId="0" fontId="35" fillId="0" borderId="6" xfId="0" applyFont="1" applyFill="1" applyBorder="1"/>
    <xf numFmtId="0" fontId="40" fillId="0" borderId="6" xfId="0" applyFont="1" applyFill="1" applyBorder="1"/>
    <xf numFmtId="0" fontId="16" fillId="24" borderId="90" xfId="0" applyFont="1" applyFill="1" applyBorder="1"/>
    <xf numFmtId="0" fontId="16" fillId="24" borderId="58" xfId="0" applyFont="1" applyFill="1" applyBorder="1"/>
    <xf numFmtId="0" fontId="16" fillId="24" borderId="91" xfId="0" applyFont="1" applyFill="1" applyBorder="1" applyAlignment="1">
      <alignment horizontal="center"/>
    </xf>
    <xf numFmtId="0" fontId="16" fillId="24" borderId="58" xfId="0" applyFont="1" applyFill="1" applyBorder="1" applyAlignment="1">
      <alignment horizontal="center"/>
    </xf>
    <xf numFmtId="0" fontId="16" fillId="24" borderId="91" xfId="0" applyFont="1" applyFill="1" applyBorder="1"/>
    <xf numFmtId="0" fontId="16" fillId="24" borderId="13" xfId="0" applyFont="1" applyFill="1" applyBorder="1"/>
    <xf numFmtId="0" fontId="16" fillId="24" borderId="6" xfId="0" applyFont="1" applyFill="1" applyBorder="1"/>
    <xf numFmtId="0" fontId="85" fillId="0" borderId="92" xfId="0" applyFont="1" applyFill="1" applyBorder="1"/>
    <xf numFmtId="0" fontId="85" fillId="0" borderId="6" xfId="0" applyFont="1" applyFill="1" applyBorder="1"/>
    <xf numFmtId="0" fontId="85" fillId="0" borderId="6" xfId="0" applyFont="1" applyFill="1" applyBorder="1" applyAlignment="1">
      <alignment horizontal="center"/>
    </xf>
    <xf numFmtId="3" fontId="25" fillId="0" borderId="66" xfId="0" applyNumberFormat="1" applyFont="1" applyFill="1" applyBorder="1" applyAlignment="1">
      <alignment horizontal="center"/>
    </xf>
    <xf numFmtId="0" fontId="25" fillId="0" borderId="66" xfId="0" applyFont="1" applyFill="1" applyBorder="1"/>
    <xf numFmtId="0" fontId="25" fillId="0" borderId="94" xfId="0" applyFont="1" applyFill="1" applyBorder="1" applyAlignment="1">
      <alignment horizontal="center"/>
    </xf>
    <xf numFmtId="3" fontId="25" fillId="0" borderId="93" xfId="0" applyNumberFormat="1" applyFont="1" applyFill="1" applyBorder="1"/>
    <xf numFmtId="0" fontId="16" fillId="24" borderId="92" xfId="0" applyFont="1" applyFill="1" applyBorder="1"/>
    <xf numFmtId="0" fontId="35" fillId="24" borderId="57" xfId="0" applyFont="1" applyFill="1" applyBorder="1" applyAlignment="1">
      <alignment horizontal="center" vertical="center" wrapText="1"/>
    </xf>
    <xf numFmtId="0" fontId="16" fillId="24" borderId="6" xfId="0" applyFont="1" applyFill="1" applyBorder="1" applyAlignment="1">
      <alignment horizontal="center"/>
    </xf>
    <xf numFmtId="0" fontId="16" fillId="24" borderId="57" xfId="0" applyFont="1" applyFill="1" applyBorder="1"/>
    <xf numFmtId="0" fontId="6" fillId="24" borderId="12" xfId="0" applyFont="1" applyFill="1" applyBorder="1" applyAlignment="1">
      <alignment wrapText="1"/>
    </xf>
    <xf numFmtId="0" fontId="6" fillId="24" borderId="93" xfId="0" applyFont="1" applyFill="1" applyBorder="1" applyAlignment="1">
      <alignment wrapText="1"/>
    </xf>
    <xf numFmtId="0" fontId="6" fillId="24" borderId="66" xfId="0" applyFont="1" applyFill="1" applyBorder="1" applyAlignment="1">
      <alignment wrapText="1"/>
    </xf>
    <xf numFmtId="0" fontId="6" fillId="24" borderId="13" xfId="0" applyFont="1" applyFill="1" applyBorder="1" applyAlignment="1">
      <alignment wrapText="1"/>
    </xf>
    <xf numFmtId="0" fontId="6" fillId="24" borderId="6" xfId="0" applyFont="1" applyFill="1" applyBorder="1" applyAlignment="1">
      <alignment wrapText="1"/>
    </xf>
    <xf numFmtId="0" fontId="6" fillId="24" borderId="6" xfId="0" applyFont="1" applyFill="1" applyBorder="1" applyAlignment="1">
      <alignment horizontal="center" wrapText="1"/>
    </xf>
    <xf numFmtId="0" fontId="6" fillId="24" borderId="75" xfId="0" applyFont="1" applyFill="1" applyBorder="1" applyAlignment="1">
      <alignment horizontal="center"/>
    </xf>
    <xf numFmtId="0" fontId="0" fillId="24" borderId="12" xfId="0" applyFont="1" applyFill="1" applyBorder="1" applyAlignment="1">
      <alignment horizontal="center" vertical="center" wrapText="1"/>
    </xf>
    <xf numFmtId="0" fontId="0" fillId="24" borderId="6" xfId="0" applyFont="1" applyFill="1" applyBorder="1" applyAlignment="1">
      <alignment horizontal="left" vertical="center" wrapText="1"/>
    </xf>
    <xf numFmtId="0" fontId="0" fillId="24" borderId="6"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15" fillId="24" borderId="92" xfId="0" applyFont="1" applyFill="1" applyBorder="1"/>
    <xf numFmtId="0" fontId="15" fillId="24" borderId="57" xfId="0" applyFont="1" applyFill="1" applyBorder="1"/>
    <xf numFmtId="0" fontId="0" fillId="0" borderId="6" xfId="0" applyFont="1" applyBorder="1" applyAlignment="1"/>
    <xf numFmtId="2" fontId="15" fillId="10" borderId="6" xfId="0" applyNumberFormat="1" applyFont="1" applyFill="1" applyBorder="1" applyAlignment="1">
      <alignment horizontal="center"/>
    </xf>
    <xf numFmtId="3" fontId="15" fillId="10" borderId="6" xfId="0" applyNumberFormat="1" applyFont="1" applyFill="1" applyBorder="1" applyAlignment="1">
      <alignment horizontal="center"/>
    </xf>
    <xf numFmtId="0" fontId="15" fillId="10" borderId="101" xfId="0" applyFont="1" applyFill="1" applyBorder="1"/>
    <xf numFmtId="0" fontId="15" fillId="10" borderId="102" xfId="0" applyFont="1" applyFill="1" applyBorder="1" applyAlignment="1">
      <alignment wrapText="1"/>
    </xf>
    <xf numFmtId="0" fontId="15" fillId="24" borderId="6" xfId="0" applyFont="1" applyFill="1" applyBorder="1" applyAlignment="1">
      <alignment wrapText="1"/>
    </xf>
    <xf numFmtId="0" fontId="25" fillId="24" borderId="6" xfId="0" applyFont="1" applyFill="1" applyBorder="1"/>
    <xf numFmtId="0" fontId="0" fillId="24" borderId="107" xfId="0" applyFont="1" applyFill="1" applyBorder="1"/>
    <xf numFmtId="0" fontId="0" fillId="0" borderId="108" xfId="0" applyFont="1" applyFill="1" applyBorder="1"/>
    <xf numFmtId="0" fontId="0" fillId="24" borderId="108" xfId="0" applyFont="1" applyFill="1" applyBorder="1"/>
    <xf numFmtId="0" fontId="6" fillId="0" borderId="108" xfId="0" applyFont="1" applyFill="1" applyBorder="1"/>
    <xf numFmtId="0" fontId="0" fillId="0" borderId="108" xfId="0" applyFill="1" applyBorder="1"/>
    <xf numFmtId="0" fontId="0" fillId="0" borderId="109" xfId="0" applyFill="1" applyBorder="1"/>
    <xf numFmtId="0" fontId="0" fillId="24" borderId="90" xfId="0" applyFont="1" applyFill="1" applyBorder="1" applyAlignment="1">
      <alignment horizontal="left"/>
    </xf>
    <xf numFmtId="0" fontId="1" fillId="24" borderId="58" xfId="0" applyFont="1" applyFill="1" applyBorder="1" applyAlignment="1">
      <alignment horizontal="center"/>
    </xf>
    <xf numFmtId="0" fontId="0" fillId="24" borderId="57" xfId="0" applyFont="1" applyFill="1" applyBorder="1" applyAlignment="1">
      <alignment horizontal="center" wrapText="1"/>
    </xf>
    <xf numFmtId="0" fontId="0" fillId="12" borderId="92" xfId="0" applyFill="1" applyBorder="1" applyAlignment="1">
      <alignment horizontal="center"/>
    </xf>
    <xf numFmtId="0" fontId="0" fillId="12" borderId="6" xfId="0" applyFont="1" applyFill="1" applyBorder="1"/>
    <xf numFmtId="0" fontId="0" fillId="12" borderId="66" xfId="0" applyFont="1" applyFill="1" applyBorder="1" applyAlignment="1">
      <alignment horizontal="center"/>
    </xf>
    <xf numFmtId="0" fontId="0" fillId="12" borderId="66" xfId="0" applyFont="1" applyFill="1" applyBorder="1"/>
    <xf numFmtId="0" fontId="45" fillId="12" borderId="92" xfId="0" applyFont="1" applyFill="1" applyBorder="1" applyAlignment="1">
      <alignment horizontal="center"/>
    </xf>
    <xf numFmtId="0" fontId="45" fillId="0" borderId="13" xfId="0" applyFont="1" applyFill="1" applyBorder="1" applyAlignment="1">
      <alignment horizontal="center"/>
    </xf>
    <xf numFmtId="0" fontId="83" fillId="0" borderId="66" xfId="0" applyFont="1" applyFill="1" applyBorder="1" applyAlignment="1">
      <alignment horizontal="center"/>
    </xf>
    <xf numFmtId="0" fontId="1" fillId="16" borderId="6" xfId="0" applyFont="1" applyFill="1" applyBorder="1" applyAlignment="1">
      <alignment horizontal="center"/>
    </xf>
    <xf numFmtId="0" fontId="45" fillId="0" borderId="93" xfId="0" applyFont="1" applyFill="1" applyBorder="1" applyAlignment="1">
      <alignment horizontal="center"/>
    </xf>
    <xf numFmtId="0" fontId="0" fillId="0" borderId="12" xfId="0" applyFill="1" applyBorder="1" applyAlignment="1">
      <alignment vertical="center"/>
    </xf>
    <xf numFmtId="0" fontId="59" fillId="0" borderId="6" xfId="0" applyFont="1" applyFill="1" applyBorder="1" applyAlignment="1">
      <alignment horizontal="center" vertical="center"/>
    </xf>
    <xf numFmtId="0" fontId="1" fillId="0" borderId="12" xfId="0" applyFont="1" applyFill="1" applyBorder="1" applyAlignment="1">
      <alignment horizontal="right" vertical="center"/>
    </xf>
    <xf numFmtId="0" fontId="68" fillId="0" borderId="57" xfId="0" applyFont="1" applyFill="1" applyBorder="1" applyAlignment="1">
      <alignment vertical="center"/>
    </xf>
    <xf numFmtId="3" fontId="0" fillId="0" borderId="6" xfId="0" applyNumberFormat="1" applyFont="1" applyFill="1" applyBorder="1" applyAlignment="1">
      <alignment horizontal="center" vertical="center"/>
    </xf>
    <xf numFmtId="0" fontId="59" fillId="0" borderId="12" xfId="0" applyFont="1" applyFill="1" applyBorder="1" applyAlignment="1">
      <alignment horizontal="center" vertical="center"/>
    </xf>
    <xf numFmtId="0" fontId="16" fillId="0" borderId="0" xfId="15" applyFont="1" applyAlignment="1">
      <alignment vertical="center"/>
    </xf>
    <xf numFmtId="0" fontId="16" fillId="0" borderId="0" xfId="15" applyFont="1"/>
    <xf numFmtId="0" fontId="40" fillId="0" borderId="0" xfId="15" applyFont="1" applyAlignment="1">
      <alignment vertical="center"/>
    </xf>
    <xf numFmtId="0" fontId="21" fillId="0" borderId="0" xfId="15" applyFont="1" applyBorder="1" applyAlignment="1">
      <alignment vertical="center"/>
    </xf>
    <xf numFmtId="0" fontId="92" fillId="0" borderId="0" xfId="15" applyFont="1" applyAlignment="1">
      <alignment vertical="center"/>
    </xf>
    <xf numFmtId="0" fontId="40" fillId="0" borderId="6" xfId="15" applyFont="1" applyBorder="1"/>
    <xf numFmtId="0" fontId="16" fillId="0" borderId="6" xfId="15" applyFont="1" applyBorder="1"/>
    <xf numFmtId="0" fontId="40" fillId="0" borderId="6" xfId="16" applyFont="1" applyBorder="1"/>
    <xf numFmtId="0" fontId="1" fillId="0" borderId="6" xfId="0" applyFont="1" applyBorder="1" applyAlignment="1">
      <alignment horizontal="right"/>
    </xf>
    <xf numFmtId="0" fontId="16" fillId="0" borderId="6" xfId="15" applyFont="1" applyBorder="1" applyAlignment="1">
      <alignment horizontal="center"/>
    </xf>
    <xf numFmtId="0" fontId="16" fillId="0" borderId="6" xfId="15" applyFont="1" applyBorder="1" applyAlignment="1"/>
    <xf numFmtId="0" fontId="16" fillId="0" borderId="15" xfId="15" applyFont="1" applyBorder="1" applyAlignment="1"/>
    <xf numFmtId="0" fontId="16" fillId="0" borderId="12" xfId="15" applyFont="1" applyBorder="1"/>
    <xf numFmtId="0" fontId="16" fillId="0" borderId="90" xfId="15" applyFont="1" applyBorder="1"/>
    <xf numFmtId="0" fontId="16" fillId="0" borderId="91" xfId="15" applyFont="1" applyBorder="1" applyAlignment="1">
      <alignment horizontal="center"/>
    </xf>
    <xf numFmtId="0" fontId="16" fillId="0" borderId="13" xfId="15" applyFont="1" applyBorder="1"/>
    <xf numFmtId="0" fontId="16" fillId="0" borderId="92" xfId="15" applyFont="1" applyBorder="1"/>
    <xf numFmtId="0" fontId="16" fillId="0" borderId="57" xfId="15" applyFont="1" applyBorder="1" applyAlignment="1">
      <alignment horizontal="center"/>
    </xf>
    <xf numFmtId="168" fontId="30" fillId="0" borderId="6" xfId="9" applyFont="1" applyBorder="1" applyAlignment="1">
      <alignment horizontal="center" vertical="center"/>
    </xf>
    <xf numFmtId="168" fontId="16" fillId="0" borderId="92" xfId="9" applyFont="1" applyBorder="1">
      <alignment horizontal="center" vertical="center"/>
    </xf>
    <xf numFmtId="0" fontId="16" fillId="0" borderId="97" xfId="15" applyFont="1" applyBorder="1"/>
    <xf numFmtId="0" fontId="16" fillId="0" borderId="95" xfId="15" applyFont="1" applyBorder="1" applyAlignment="1">
      <alignment horizontal="center"/>
    </xf>
    <xf numFmtId="0" fontId="16" fillId="0" borderId="3" xfId="15" applyFont="1" applyBorder="1"/>
    <xf numFmtId="0" fontId="16" fillId="0" borderId="15" xfId="15" applyFont="1" applyBorder="1"/>
    <xf numFmtId="0" fontId="16" fillId="0" borderId="58" xfId="15" applyFont="1" applyBorder="1"/>
    <xf numFmtId="0" fontId="16" fillId="0" borderId="71" xfId="15" applyFont="1" applyBorder="1"/>
    <xf numFmtId="4" fontId="16" fillId="0" borderId="58" xfId="8" applyFont="1" applyBorder="1">
      <alignment vertical="center"/>
    </xf>
    <xf numFmtId="0" fontId="16" fillId="0" borderId="91" xfId="15" applyFont="1" applyBorder="1"/>
    <xf numFmtId="0" fontId="93" fillId="0" borderId="92" xfId="15" applyFont="1" applyBorder="1"/>
    <xf numFmtId="0" fontId="30" fillId="0" borderId="6" xfId="15" applyFont="1" applyBorder="1"/>
    <xf numFmtId="0" fontId="94" fillId="0" borderId="6" xfId="15" applyFont="1" applyBorder="1" applyAlignment="1">
      <alignment horizontal="center"/>
    </xf>
    <xf numFmtId="0" fontId="93" fillId="0" borderId="13" xfId="15" applyFont="1" applyBorder="1"/>
    <xf numFmtId="4" fontId="93" fillId="0" borderId="6" xfId="8" applyFont="1" applyBorder="1">
      <alignment vertical="center"/>
    </xf>
    <xf numFmtId="0" fontId="93" fillId="0" borderId="6" xfId="15" applyFont="1" applyBorder="1"/>
    <xf numFmtId="0" fontId="16" fillId="0" borderId="57" xfId="15" applyFont="1" applyBorder="1"/>
    <xf numFmtId="0" fontId="16" fillId="0" borderId="93" xfId="15" applyFont="1" applyBorder="1"/>
    <xf numFmtId="168" fontId="16" fillId="0" borderId="66" xfId="9" applyFont="1" applyBorder="1">
      <alignment horizontal="center" vertical="center"/>
    </xf>
    <xf numFmtId="168" fontId="16" fillId="0" borderId="94" xfId="9" applyFont="1" applyBorder="1" applyAlignment="1">
      <alignment horizontal="center" vertical="center"/>
    </xf>
    <xf numFmtId="0" fontId="16" fillId="0" borderId="67" xfId="15" applyFont="1" applyBorder="1"/>
    <xf numFmtId="0" fontId="16" fillId="0" borderId="66" xfId="15" applyFont="1" applyBorder="1"/>
    <xf numFmtId="0" fontId="16" fillId="0" borderId="94" xfId="15" applyFont="1" applyBorder="1"/>
    <xf numFmtId="0" fontId="16" fillId="0" borderId="96" xfId="15" applyFont="1" applyBorder="1"/>
    <xf numFmtId="0" fontId="16" fillId="0" borderId="16" xfId="15" applyFont="1" applyBorder="1"/>
    <xf numFmtId="0" fontId="16" fillId="0" borderId="98" xfId="15" applyFont="1" applyBorder="1" applyAlignment="1">
      <alignment horizontal="center"/>
    </xf>
    <xf numFmtId="0" fontId="16" fillId="0" borderId="10" xfId="15" applyFont="1" applyBorder="1"/>
    <xf numFmtId="0" fontId="0" fillId="0" borderId="15" xfId="0" applyFont="1" applyBorder="1"/>
    <xf numFmtId="3" fontId="21" fillId="0" borderId="58" xfId="38" applyFont="1" applyBorder="1">
      <alignment horizontal="center" vertical="center" shrinkToFit="1"/>
    </xf>
    <xf numFmtId="0" fontId="16" fillId="0" borderId="58" xfId="15" applyFont="1" applyBorder="1" applyAlignment="1">
      <alignment horizontal="left"/>
    </xf>
    <xf numFmtId="0" fontId="94" fillId="0" borderId="58" xfId="15" applyFont="1" applyBorder="1" applyAlignment="1">
      <alignment horizontal="center"/>
    </xf>
    <xf numFmtId="3" fontId="21" fillId="0" borderId="6" xfId="38" applyFont="1" applyBorder="1">
      <alignment horizontal="center" vertical="center" shrinkToFit="1"/>
    </xf>
    <xf numFmtId="164" fontId="95" fillId="0" borderId="6" xfId="15" applyNumberFormat="1" applyFont="1" applyBorder="1" applyAlignment="1">
      <alignment horizontal="left"/>
    </xf>
    <xf numFmtId="0" fontId="16" fillId="0" borderId="92" xfId="15" applyFont="1" applyFill="1" applyBorder="1"/>
    <xf numFmtId="168" fontId="16" fillId="0" borderId="66" xfId="15" applyNumberFormat="1" applyFont="1" applyBorder="1" applyAlignment="1">
      <alignment horizontal="center"/>
    </xf>
    <xf numFmtId="0" fontId="16" fillId="0" borderId="66" xfId="15" applyFont="1" applyBorder="1" applyAlignment="1">
      <alignment horizontal="center"/>
    </xf>
    <xf numFmtId="0" fontId="94" fillId="0" borderId="66" xfId="15" applyFont="1" applyBorder="1" applyAlignment="1">
      <alignment horizontal="center"/>
    </xf>
    <xf numFmtId="0" fontId="16" fillId="0" borderId="94" xfId="15" applyFont="1" applyBorder="1" applyAlignment="1">
      <alignment horizontal="center"/>
    </xf>
    <xf numFmtId="0" fontId="16" fillId="0" borderId="16" xfId="15" applyFont="1" applyBorder="1" applyAlignment="1">
      <alignment horizontal="center"/>
    </xf>
    <xf numFmtId="0" fontId="16" fillId="0" borderId="15" xfId="15" applyFont="1" applyBorder="1" applyAlignment="1">
      <alignment horizontal="center"/>
    </xf>
    <xf numFmtId="0" fontId="16" fillId="0" borderId="12" xfId="15" applyFont="1" applyFill="1" applyBorder="1"/>
    <xf numFmtId="168" fontId="16" fillId="0" borderId="92" xfId="9" applyFont="1" applyFill="1" applyBorder="1">
      <alignment horizontal="center" vertical="center"/>
    </xf>
    <xf numFmtId="168" fontId="16" fillId="0" borderId="6" xfId="9" applyFont="1" applyFill="1" applyBorder="1">
      <alignment horizontal="center" vertical="center"/>
    </xf>
    <xf numFmtId="1" fontId="30" fillId="0" borderId="6" xfId="10" applyFont="1" applyFill="1" applyBorder="1">
      <alignment horizontal="center" vertical="center"/>
    </xf>
    <xf numFmtId="0" fontId="16" fillId="0" borderId="57" xfId="15" applyFont="1" applyFill="1" applyBorder="1" applyAlignment="1">
      <alignment horizontal="center"/>
    </xf>
    <xf numFmtId="0" fontId="16" fillId="0" borderId="13" xfId="15" applyFont="1" applyFill="1" applyBorder="1"/>
    <xf numFmtId="0" fontId="16" fillId="0" borderId="6" xfId="15" applyFont="1" applyFill="1" applyBorder="1"/>
    <xf numFmtId="4" fontId="16" fillId="0" borderId="6" xfId="8" applyFont="1" applyBorder="1">
      <alignment vertical="center"/>
    </xf>
    <xf numFmtId="0" fontId="30" fillId="0" borderId="92" xfId="15" applyFont="1" applyBorder="1"/>
    <xf numFmtId="0" fontId="96" fillId="0" borderId="6" xfId="15" applyFont="1" applyBorder="1" applyAlignment="1">
      <alignment horizontal="center"/>
    </xf>
    <xf numFmtId="4" fontId="16" fillId="0" borderId="66" xfId="8" applyFont="1" applyBorder="1">
      <alignment vertical="center"/>
    </xf>
    <xf numFmtId="0" fontId="16" fillId="0" borderId="99" xfId="15" applyFont="1" applyBorder="1"/>
    <xf numFmtId="0" fontId="16" fillId="0" borderId="17" xfId="15" applyFont="1" applyBorder="1"/>
    <xf numFmtId="0" fontId="16" fillId="0" borderId="100" xfId="15" applyFont="1" applyBorder="1" applyAlignment="1">
      <alignment horizontal="center"/>
    </xf>
    <xf numFmtId="0" fontId="16" fillId="0" borderId="101" xfId="15" applyFont="1" applyBorder="1"/>
    <xf numFmtId="168" fontId="16" fillId="0" borderId="102" xfId="9" applyFont="1" applyBorder="1">
      <alignment horizontal="center" vertical="center"/>
    </xf>
    <xf numFmtId="168" fontId="16" fillId="0" borderId="103" xfId="9" applyFont="1" applyBorder="1" applyAlignment="1">
      <alignment horizontal="center" vertical="center"/>
    </xf>
    <xf numFmtId="0" fontId="16" fillId="0" borderId="8" xfId="15" applyFont="1" applyBorder="1"/>
    <xf numFmtId="0" fontId="30" fillId="0" borderId="90" xfId="15" applyFont="1" applyBorder="1"/>
    <xf numFmtId="168" fontId="30" fillId="0" borderId="58" xfId="9" applyFont="1" applyBorder="1" applyAlignment="1">
      <alignment horizontal="center" vertical="center"/>
    </xf>
    <xf numFmtId="0" fontId="16" fillId="0" borderId="6" xfId="15" applyFont="1" applyBorder="1" applyAlignment="1">
      <alignment horizontal="left"/>
    </xf>
    <xf numFmtId="1" fontId="16" fillId="0" borderId="93" xfId="10" applyFont="1" applyBorder="1">
      <alignment horizontal="center" vertical="center"/>
    </xf>
    <xf numFmtId="1" fontId="16" fillId="0" borderId="66" xfId="10" applyFont="1" applyBorder="1">
      <alignment horizontal="center" vertical="center"/>
    </xf>
    <xf numFmtId="0" fontId="16" fillId="0" borderId="64" xfId="15" applyFont="1" applyBorder="1"/>
    <xf numFmtId="0" fontId="16" fillId="0" borderId="0" xfId="15" applyFont="1" applyBorder="1" applyAlignment="1">
      <alignment vertical="center"/>
    </xf>
    <xf numFmtId="0" fontId="16" fillId="0" borderId="0" xfId="15" applyFont="1" applyBorder="1" applyAlignment="1">
      <alignment horizontal="center" vertical="center"/>
    </xf>
    <xf numFmtId="0" fontId="16" fillId="0" borderId="0" xfId="15" applyFont="1" applyAlignment="1">
      <alignment horizontal="center" vertical="center"/>
    </xf>
    <xf numFmtId="0" fontId="16" fillId="0" borderId="0" xfId="15" applyFont="1" applyAlignment="1">
      <alignment horizontal="center"/>
    </xf>
    <xf numFmtId="3" fontId="21" fillId="0" borderId="20" xfId="38" applyFont="1">
      <alignment horizontal="center" vertical="center" shrinkToFit="1"/>
    </xf>
    <xf numFmtId="0" fontId="16" fillId="0" borderId="24" xfId="15" applyFont="1" applyBorder="1"/>
    <xf numFmtId="168" fontId="16" fillId="0" borderId="23" xfId="9" applyFont="1" applyBorder="1" applyAlignment="1">
      <alignment horizontal="center" vertical="center"/>
    </xf>
    <xf numFmtId="168" fontId="16" fillId="0" borderId="18" xfId="9" applyFont="1" applyAlignment="1">
      <alignment horizontal="center" vertical="center"/>
    </xf>
    <xf numFmtId="0" fontId="16" fillId="0" borderId="25" xfId="15" applyFont="1" applyBorder="1"/>
    <xf numFmtId="3" fontId="21" fillId="19" borderId="20" xfId="38" applyFont="1" applyFill="1">
      <alignment horizontal="center" vertical="center" shrinkToFit="1"/>
    </xf>
    <xf numFmtId="0" fontId="16" fillId="19" borderId="0" xfId="15" applyFont="1" applyFill="1"/>
    <xf numFmtId="1" fontId="16" fillId="0" borderId="18" xfId="10" applyFont="1">
      <alignment horizontal="center" vertical="center"/>
    </xf>
    <xf numFmtId="10" fontId="16" fillId="0" borderId="0" xfId="15" applyNumberFormat="1" applyFont="1"/>
    <xf numFmtId="0" fontId="16" fillId="0" borderId="34" xfId="15" applyFont="1" applyBorder="1"/>
    <xf numFmtId="0" fontId="16" fillId="0" borderId="35" xfId="15" applyFont="1" applyBorder="1"/>
    <xf numFmtId="0" fontId="16" fillId="0" borderId="7" xfId="15" applyFont="1" applyBorder="1"/>
    <xf numFmtId="0" fontId="16" fillId="0" borderId="38" xfId="15" applyFont="1" applyBorder="1"/>
    <xf numFmtId="0" fontId="16" fillId="0" borderId="0" xfId="15" applyFont="1" applyBorder="1" applyAlignment="1">
      <alignment horizontal="right"/>
    </xf>
    <xf numFmtId="0" fontId="16" fillId="0" borderId="0" xfId="15" applyFont="1" applyBorder="1"/>
    <xf numFmtId="3" fontId="21" fillId="0" borderId="55" xfId="38" applyFont="1" applyBorder="1">
      <alignment horizontal="center" vertical="center" shrinkToFit="1"/>
    </xf>
    <xf numFmtId="3" fontId="21" fillId="0" borderId="20" xfId="38" applyFont="1" applyBorder="1">
      <alignment horizontal="center" vertical="center" shrinkToFit="1"/>
    </xf>
    <xf numFmtId="0" fontId="16" fillId="0" borderId="42" xfId="15" applyFont="1" applyBorder="1"/>
    <xf numFmtId="10" fontId="16" fillId="0" borderId="7" xfId="15" applyNumberFormat="1" applyFont="1" applyBorder="1"/>
    <xf numFmtId="0" fontId="16" fillId="0" borderId="36" xfId="15" applyFont="1" applyBorder="1"/>
    <xf numFmtId="0" fontId="16" fillId="0" borderId="37" xfId="15" applyFont="1" applyBorder="1"/>
    <xf numFmtId="10" fontId="16" fillId="0" borderId="36" xfId="15" applyNumberFormat="1" applyFont="1" applyBorder="1"/>
    <xf numFmtId="3" fontId="21" fillId="0" borderId="56" xfId="38" applyFont="1" applyBorder="1">
      <alignment horizontal="center" vertical="center" shrinkToFit="1"/>
    </xf>
    <xf numFmtId="170" fontId="16" fillId="0" borderId="0" xfId="15" applyNumberFormat="1" applyFont="1" applyBorder="1" applyAlignment="1">
      <alignment horizontal="center"/>
    </xf>
    <xf numFmtId="0" fontId="16" fillId="0" borderId="0" xfId="15" applyFont="1" applyBorder="1" applyAlignment="1">
      <alignment horizontal="center"/>
    </xf>
    <xf numFmtId="0" fontId="16" fillId="0" borderId="4" xfId="15" applyFont="1" applyBorder="1"/>
    <xf numFmtId="0" fontId="16" fillId="0" borderId="4" xfId="15" applyFont="1" applyBorder="1" applyAlignment="1">
      <alignment horizontal="right"/>
    </xf>
    <xf numFmtId="0" fontId="16" fillId="0" borderId="4" xfId="15" applyFont="1" applyBorder="1" applyAlignment="1">
      <alignment horizontal="center"/>
    </xf>
    <xf numFmtId="4" fontId="16" fillId="0" borderId="18" xfId="8" applyFont="1">
      <alignment vertical="center"/>
    </xf>
    <xf numFmtId="4" fontId="16" fillId="0" borderId="18" xfId="8" applyFont="1" applyAlignment="1">
      <alignment horizontal="center" vertical="center"/>
    </xf>
    <xf numFmtId="3" fontId="21" fillId="8" borderId="20" xfId="38" applyFont="1" applyFill="1">
      <alignment horizontal="center" vertical="center" shrinkToFit="1"/>
    </xf>
    <xf numFmtId="0" fontId="16" fillId="8" borderId="0" xfId="15" applyFont="1" applyFill="1"/>
    <xf numFmtId="3" fontId="21" fillId="20" borderId="20" xfId="38" applyFont="1" applyFill="1">
      <alignment horizontal="center" vertical="center" shrinkToFit="1"/>
    </xf>
    <xf numFmtId="0" fontId="16" fillId="20" borderId="0" xfId="15" applyFont="1" applyFill="1"/>
    <xf numFmtId="3" fontId="21" fillId="21" borderId="20" xfId="38" applyFont="1" applyFill="1">
      <alignment horizontal="center" vertical="center" shrinkToFit="1"/>
    </xf>
    <xf numFmtId="0" fontId="16" fillId="21" borderId="0" xfId="15" applyFont="1" applyFill="1"/>
    <xf numFmtId="3" fontId="21" fillId="22" borderId="20" xfId="38" applyFont="1" applyFill="1">
      <alignment horizontal="center" vertical="center" shrinkToFit="1"/>
    </xf>
    <xf numFmtId="0" fontId="16" fillId="22" borderId="0" xfId="15" applyFont="1" applyFill="1"/>
    <xf numFmtId="1" fontId="16" fillId="0" borderId="18" xfId="10" applyFont="1" applyAlignment="1">
      <alignment horizontal="center" vertical="center"/>
    </xf>
    <xf numFmtId="3" fontId="21" fillId="6" borderId="20" xfId="38" applyFont="1" applyFill="1">
      <alignment horizontal="center" vertical="center" shrinkToFit="1"/>
    </xf>
    <xf numFmtId="0" fontId="16" fillId="6" borderId="0" xfId="15" applyFont="1" applyFill="1"/>
    <xf numFmtId="0" fontId="16" fillId="0" borderId="26" xfId="15" applyFont="1" applyBorder="1"/>
    <xf numFmtId="0" fontId="16" fillId="0" borderId="27" xfId="15" applyFont="1" applyBorder="1"/>
    <xf numFmtId="0" fontId="30" fillId="0" borderId="27" xfId="15" applyFont="1" applyBorder="1"/>
    <xf numFmtId="0" fontId="16" fillId="0" borderId="30" xfId="15" applyFont="1" applyBorder="1"/>
    <xf numFmtId="0" fontId="16" fillId="0" borderId="28" xfId="15" applyFont="1" applyBorder="1"/>
    <xf numFmtId="0" fontId="30" fillId="0" borderId="0" xfId="15" applyFont="1" applyBorder="1"/>
    <xf numFmtId="0" fontId="16" fillId="0" borderId="29" xfId="15" applyFont="1" applyBorder="1"/>
    <xf numFmtId="0" fontId="48" fillId="0" borderId="28" xfId="15" applyFont="1" applyBorder="1"/>
    <xf numFmtId="3" fontId="21" fillId="0" borderId="48" xfId="38" applyFont="1" applyBorder="1">
      <alignment horizontal="center" vertical="center" shrinkToFit="1"/>
    </xf>
    <xf numFmtId="0" fontId="16" fillId="0" borderId="32" xfId="15" applyFont="1" applyBorder="1"/>
    <xf numFmtId="3" fontId="21" fillId="0" borderId="0" xfId="38" applyFont="1" applyBorder="1">
      <alignment horizontal="center" vertical="center" shrinkToFit="1"/>
    </xf>
    <xf numFmtId="4" fontId="25" fillId="0" borderId="18" xfId="8" applyFont="1">
      <alignment vertical="center"/>
    </xf>
    <xf numFmtId="0" fontId="16" fillId="0" borderId="54" xfId="15" applyFont="1" applyBorder="1"/>
    <xf numFmtId="0" fontId="16" fillId="0" borderId="19" xfId="15" applyFont="1" applyBorder="1"/>
    <xf numFmtId="0" fontId="16" fillId="0" borderId="19" xfId="15" applyFont="1" applyBorder="1" applyAlignment="1">
      <alignment horizontal="right"/>
    </xf>
    <xf numFmtId="1" fontId="30" fillId="0" borderId="19" xfId="15" applyNumberFormat="1" applyFont="1" applyBorder="1" applyAlignment="1">
      <alignment horizontal="center"/>
    </xf>
    <xf numFmtId="0" fontId="16" fillId="0" borderId="41" xfId="15" applyFont="1" applyBorder="1"/>
    <xf numFmtId="1" fontId="16" fillId="0" borderId="0" xfId="15" applyNumberFormat="1" applyFont="1" applyBorder="1" applyAlignment="1">
      <alignment horizontal="center"/>
    </xf>
    <xf numFmtId="0" fontId="16" fillId="0" borderId="31" xfId="15" applyFont="1" applyBorder="1"/>
    <xf numFmtId="168" fontId="16" fillId="0" borderId="32" xfId="15" applyNumberFormat="1" applyFont="1" applyBorder="1" applyAlignment="1">
      <alignment horizontal="center"/>
    </xf>
    <xf numFmtId="0" fontId="16" fillId="0" borderId="33" xfId="15" applyFont="1" applyBorder="1"/>
    <xf numFmtId="0" fontId="0" fillId="0" borderId="12" xfId="0" applyFont="1" applyBorder="1" applyAlignment="1"/>
    <xf numFmtId="0" fontId="0" fillId="0" borderId="14" xfId="0" applyFont="1" applyBorder="1" applyAlignment="1"/>
    <xf numFmtId="0" fontId="0" fillId="0" borderId="13" xfId="0" applyFont="1" applyBorder="1" applyAlignment="1"/>
    <xf numFmtId="0" fontId="0" fillId="0" borderId="58" xfId="0" applyFont="1" applyBorder="1" applyAlignment="1">
      <alignment vertical="center"/>
    </xf>
    <xf numFmtId="0" fontId="1" fillId="0" borderId="66" xfId="0" applyFont="1" applyBorder="1" applyAlignment="1">
      <alignment vertical="center"/>
    </xf>
    <xf numFmtId="0" fontId="40" fillId="24" borderId="16" xfId="0" applyFont="1" applyFill="1" applyBorder="1" applyAlignment="1">
      <alignment vertical="center"/>
    </xf>
    <xf numFmtId="0" fontId="0" fillId="24" borderId="98" xfId="0" applyFont="1" applyFill="1" applyBorder="1" applyAlignment="1">
      <alignment horizontal="center" vertical="center"/>
    </xf>
    <xf numFmtId="0" fontId="1" fillId="0" borderId="6" xfId="0" applyFont="1" applyBorder="1"/>
    <xf numFmtId="0" fontId="6" fillId="0" borderId="90" xfId="0" applyFont="1" applyFill="1" applyBorder="1" applyAlignment="1">
      <alignment vertical="center"/>
    </xf>
    <xf numFmtId="0" fontId="0" fillId="0" borderId="6" xfId="0" applyFont="1" applyBorder="1" applyAlignment="1">
      <alignment horizontal="right" vertical="center"/>
    </xf>
    <xf numFmtId="0" fontId="40" fillId="0" borderId="20" xfId="0" applyFont="1" applyBorder="1"/>
    <xf numFmtId="3" fontId="40" fillId="0" borderId="20" xfId="38" applyFont="1" applyAlignment="1">
      <alignment horizontal="left" vertical="center" shrinkToFit="1"/>
    </xf>
    <xf numFmtId="3" fontId="40" fillId="0" borderId="20" xfId="38" applyFont="1">
      <alignment horizontal="center" vertical="center" shrinkToFit="1"/>
    </xf>
    <xf numFmtId="0" fontId="16" fillId="24" borderId="12" xfId="15" applyFont="1" applyFill="1" applyBorder="1"/>
    <xf numFmtId="0" fontId="16" fillId="24" borderId="90" xfId="15" applyFont="1" applyFill="1" applyBorder="1"/>
    <xf numFmtId="0" fontId="16" fillId="24" borderId="91" xfId="15" applyFont="1" applyFill="1" applyBorder="1" applyAlignment="1">
      <alignment horizontal="center"/>
    </xf>
    <xf numFmtId="0" fontId="16" fillId="24" borderId="13" xfId="15" applyFont="1" applyFill="1" applyBorder="1"/>
    <xf numFmtId="0" fontId="16" fillId="24" borderId="6" xfId="15" applyFont="1" applyFill="1" applyBorder="1"/>
    <xf numFmtId="0" fontId="16" fillId="24" borderId="92" xfId="15" applyFont="1" applyFill="1" applyBorder="1"/>
    <xf numFmtId="0" fontId="16" fillId="24" borderId="57" xfId="15" applyFont="1" applyFill="1" applyBorder="1" applyAlignment="1">
      <alignment horizontal="center"/>
    </xf>
    <xf numFmtId="168" fontId="16" fillId="24" borderId="6" xfId="9" applyFont="1" applyFill="1" applyBorder="1" applyAlignment="1">
      <alignment horizontal="center" vertical="center"/>
    </xf>
    <xf numFmtId="168" fontId="30" fillId="24" borderId="6" xfId="9" applyFont="1" applyFill="1" applyBorder="1" applyAlignment="1">
      <alignment horizontal="center" vertical="center"/>
    </xf>
    <xf numFmtId="168" fontId="30" fillId="24" borderId="6" xfId="9" applyFont="1" applyFill="1" applyBorder="1" applyAlignment="1">
      <alignment horizontal="center" vertical="center" wrapText="1"/>
    </xf>
    <xf numFmtId="0" fontId="25" fillId="0" borderId="57" xfId="15" applyFont="1" applyBorder="1" applyAlignment="1">
      <alignment horizontal="center"/>
    </xf>
    <xf numFmtId="0" fontId="25" fillId="0" borderId="12" xfId="15" applyFont="1" applyBorder="1" applyAlignment="1"/>
    <xf numFmtId="0" fontId="25" fillId="0" borderId="92" xfId="15" applyFont="1" applyBorder="1" applyAlignment="1"/>
    <xf numFmtId="0" fontId="25" fillId="0" borderId="6" xfId="15" applyFont="1" applyBorder="1" applyAlignment="1"/>
    <xf numFmtId="3" fontId="25" fillId="0" borderId="6" xfId="38" applyFont="1" applyBorder="1" applyAlignment="1">
      <alignment horizontal="center" shrinkToFit="1"/>
    </xf>
    <xf numFmtId="0" fontId="25" fillId="0" borderId="13" xfId="15" applyFont="1" applyBorder="1" applyAlignment="1"/>
    <xf numFmtId="0" fontId="45" fillId="0" borderId="57" xfId="15" applyFont="1" applyBorder="1" applyAlignment="1">
      <alignment horizontal="center"/>
    </xf>
    <xf numFmtId="0" fontId="45" fillId="0" borderId="12" xfId="15" applyFont="1" applyBorder="1" applyAlignment="1"/>
    <xf numFmtId="0" fontId="45" fillId="0" borderId="92" xfId="15" applyFont="1" applyBorder="1" applyAlignment="1"/>
    <xf numFmtId="0" fontId="45" fillId="0" borderId="6" xfId="15" applyFont="1" applyBorder="1" applyAlignment="1"/>
    <xf numFmtId="3" fontId="45" fillId="0" borderId="6" xfId="38" applyFont="1" applyBorder="1" applyAlignment="1">
      <alignment horizontal="center" shrinkToFit="1"/>
    </xf>
    <xf numFmtId="0" fontId="45" fillId="0" borderId="13" xfId="15" applyFont="1" applyBorder="1" applyAlignment="1"/>
    <xf numFmtId="0" fontId="16" fillId="24" borderId="0" xfId="15" applyFont="1" applyFill="1"/>
    <xf numFmtId="0" fontId="16" fillId="24" borderId="0" xfId="15" applyFont="1" applyFill="1" applyAlignment="1">
      <alignment horizontal="center"/>
    </xf>
    <xf numFmtId="0" fontId="16" fillId="24" borderId="24" xfId="15" applyFont="1" applyFill="1" applyBorder="1"/>
    <xf numFmtId="168" fontId="16" fillId="24" borderId="23" xfId="9" applyFont="1" applyFill="1" applyBorder="1" applyAlignment="1">
      <alignment horizontal="center" vertical="center"/>
    </xf>
    <xf numFmtId="168" fontId="30" fillId="24" borderId="18" xfId="9" applyFont="1" applyFill="1" applyAlignment="1">
      <alignment horizontal="center" vertical="center"/>
    </xf>
    <xf numFmtId="168" fontId="16" fillId="24" borderId="18" xfId="9" applyFont="1" applyFill="1" applyAlignment="1">
      <alignment horizontal="center" vertical="center"/>
    </xf>
    <xf numFmtId="168" fontId="16" fillId="24" borderId="0" xfId="9" applyFont="1" applyFill="1" applyBorder="1" applyAlignment="1">
      <alignment horizontal="left" vertical="center"/>
    </xf>
    <xf numFmtId="168" fontId="16" fillId="24" borderId="0" xfId="9" applyFont="1" applyFill="1" applyBorder="1" applyAlignment="1">
      <alignment horizontal="center" vertical="center"/>
    </xf>
    <xf numFmtId="0" fontId="84" fillId="0" borderId="0" xfId="15" applyFont="1" applyBorder="1"/>
    <xf numFmtId="3" fontId="90" fillId="0" borderId="0" xfId="38" applyFont="1" applyBorder="1">
      <alignment horizontal="center" vertical="center" shrinkToFit="1"/>
    </xf>
    <xf numFmtId="0" fontId="84" fillId="0" borderId="0" xfId="15" applyFont="1" applyBorder="1" applyAlignment="1">
      <alignment horizontal="center"/>
    </xf>
    <xf numFmtId="0" fontId="6" fillId="24" borderId="66" xfId="0" applyFont="1" applyFill="1" applyBorder="1" applyAlignment="1">
      <alignment horizontal="center" wrapText="1"/>
    </xf>
    <xf numFmtId="0" fontId="6" fillId="24" borderId="94" xfId="0" applyFont="1" applyFill="1" applyBorder="1" applyAlignment="1">
      <alignment horizontal="center" wrapText="1"/>
    </xf>
    <xf numFmtId="0" fontId="0" fillId="0" borderId="98" xfId="0" applyFont="1" applyFill="1" applyBorder="1" applyAlignment="1">
      <alignment horizontal="center"/>
    </xf>
    <xf numFmtId="1" fontId="0" fillId="0" borderId="6" xfId="0" applyNumberFormat="1" applyFont="1" applyFill="1" applyBorder="1" applyAlignment="1">
      <alignment horizontal="center"/>
    </xf>
    <xf numFmtId="0" fontId="0" fillId="2" borderId="6" xfId="0" applyFont="1" applyFill="1" applyBorder="1" applyAlignment="1" applyProtection="1">
      <alignment horizontal="center"/>
      <protection locked="0"/>
    </xf>
    <xf numFmtId="164" fontId="0" fillId="2" borderId="6" xfId="0" applyNumberFormat="1" applyFont="1" applyFill="1" applyBorder="1" applyAlignment="1" applyProtection="1">
      <alignment horizontal="center"/>
      <protection locked="0"/>
    </xf>
    <xf numFmtId="0" fontId="0" fillId="24" borderId="13" xfId="0" applyFont="1" applyFill="1" applyBorder="1"/>
    <xf numFmtId="164" fontId="0" fillId="4" borderId="6" xfId="0" applyNumberFormat="1" applyFont="1" applyFill="1" applyBorder="1" applyAlignment="1">
      <alignment horizontal="center"/>
    </xf>
    <xf numFmtId="0" fontId="65" fillId="23" borderId="6" xfId="0" quotePrefix="1" applyFont="1" applyFill="1" applyBorder="1"/>
    <xf numFmtId="164" fontId="0" fillId="0" borderId="15" xfId="0" applyNumberFormat="1" applyFont="1" applyFill="1" applyBorder="1" applyAlignment="1">
      <alignment horizontal="center"/>
    </xf>
    <xf numFmtId="0" fontId="0" fillId="0" borderId="95" xfId="0" applyFont="1" applyFill="1" applyBorder="1" applyAlignment="1">
      <alignment horizontal="center"/>
    </xf>
    <xf numFmtId="0" fontId="0" fillId="24" borderId="58" xfId="0" applyFont="1" applyFill="1" applyBorder="1" applyAlignment="1"/>
    <xf numFmtId="0" fontId="0" fillId="0" borderId="6" xfId="0" applyFont="1" applyBorder="1" applyAlignment="1">
      <alignment horizontal="right"/>
    </xf>
    <xf numFmtId="0" fontId="0" fillId="12" borderId="6" xfId="0" applyFont="1" applyFill="1" applyBorder="1" applyAlignment="1">
      <alignment horizontal="center"/>
    </xf>
    <xf numFmtId="0" fontId="0" fillId="12" borderId="6" xfId="0" applyFont="1" applyFill="1" applyBorder="1" applyAlignment="1"/>
    <xf numFmtId="164" fontId="0" fillId="0" borderId="6" xfId="0" applyNumberFormat="1" applyFont="1" applyFill="1" applyBorder="1" applyAlignment="1"/>
    <xf numFmtId="164" fontId="0" fillId="12" borderId="6" xfId="0" applyNumberFormat="1" applyFont="1" applyFill="1" applyBorder="1" applyAlignment="1"/>
    <xf numFmtId="0" fontId="0" fillId="0" borderId="66" xfId="0" applyFont="1" applyFill="1" applyBorder="1" applyAlignment="1"/>
    <xf numFmtId="0" fontId="0" fillId="0" borderId="94" xfId="0" applyFont="1" applyFill="1" applyBorder="1" applyAlignment="1">
      <alignment horizontal="center"/>
    </xf>
    <xf numFmtId="0" fontId="0" fillId="24" borderId="16" xfId="0" applyFont="1" applyFill="1" applyBorder="1" applyAlignment="1"/>
    <xf numFmtId="0" fontId="0" fillId="24" borderId="98" xfId="0" applyFont="1" applyFill="1" applyBorder="1" applyAlignment="1">
      <alignment horizontal="center"/>
    </xf>
    <xf numFmtId="9" fontId="0" fillId="0" borderId="6" xfId="0" applyNumberFormat="1" applyFont="1" applyFill="1" applyBorder="1" applyAlignment="1">
      <alignment horizontal="right"/>
    </xf>
    <xf numFmtId="0" fontId="0" fillId="17" borderId="6" xfId="0" applyFont="1" applyFill="1" applyBorder="1"/>
    <xf numFmtId="0" fontId="0" fillId="17" borderId="6" xfId="0" applyFont="1" applyFill="1" applyBorder="1" applyAlignment="1">
      <alignment horizontal="center"/>
    </xf>
    <xf numFmtId="0" fontId="0" fillId="17" borderId="6" xfId="0" applyFont="1" applyFill="1" applyBorder="1" applyAlignment="1">
      <alignment horizontal="right"/>
    </xf>
    <xf numFmtId="0" fontId="0" fillId="17" borderId="6" xfId="0" applyFont="1" applyFill="1" applyBorder="1" applyAlignment="1"/>
    <xf numFmtId="0" fontId="0" fillId="0" borderId="15" xfId="0" applyFont="1" applyFill="1" applyBorder="1" applyAlignment="1">
      <alignment horizontal="right"/>
    </xf>
    <xf numFmtId="0" fontId="0" fillId="0" borderId="15" xfId="0" applyFont="1" applyFill="1" applyBorder="1" applyAlignment="1"/>
    <xf numFmtId="164" fontId="0" fillId="0" borderId="6" xfId="0" applyNumberFormat="1" applyFont="1" applyFill="1" applyBorder="1" applyAlignment="1">
      <alignment horizontal="right"/>
    </xf>
    <xf numFmtId="0" fontId="4" fillId="0" borderId="66" xfId="0" applyFont="1" applyFill="1" applyBorder="1" applyAlignment="1">
      <alignment horizontal="center"/>
    </xf>
    <xf numFmtId="0" fontId="0" fillId="0" borderId="16" xfId="0" applyFont="1" applyFill="1" applyBorder="1" applyAlignment="1"/>
    <xf numFmtId="9" fontId="0" fillId="0" borderId="16" xfId="0" applyNumberFormat="1" applyFont="1" applyFill="1" applyBorder="1" applyAlignment="1">
      <alignment horizontal="center"/>
    </xf>
    <xf numFmtId="0" fontId="0" fillId="12" borderId="6" xfId="0" applyFont="1" applyFill="1" applyBorder="1" applyAlignment="1">
      <alignment horizontal="right"/>
    </xf>
    <xf numFmtId="0" fontId="0" fillId="28" borderId="6" xfId="0" applyFill="1" applyBorder="1"/>
    <xf numFmtId="0" fontId="0" fillId="28" borderId="6" xfId="0" applyFill="1" applyBorder="1" applyAlignment="1">
      <alignment horizontal="right"/>
    </xf>
    <xf numFmtId="3" fontId="21" fillId="29" borderId="20" xfId="38" applyFont="1" applyFill="1">
      <alignment horizontal="center" vertical="center" shrinkToFit="1"/>
    </xf>
    <xf numFmtId="0" fontId="16" fillId="29" borderId="0" xfId="15" applyFont="1" applyFill="1"/>
    <xf numFmtId="0" fontId="17" fillId="0" borderId="0" xfId="15" applyFont="1"/>
    <xf numFmtId="1" fontId="17" fillId="0" borderId="18" xfId="10" applyFont="1">
      <alignment horizontal="center" vertical="center"/>
    </xf>
    <xf numFmtId="1" fontId="27" fillId="0" borderId="18" xfId="10" applyFont="1" applyAlignment="1">
      <alignment horizontal="center" vertical="center"/>
    </xf>
    <xf numFmtId="0" fontId="25" fillId="0" borderId="6" xfId="15" applyFont="1" applyBorder="1" applyAlignment="1">
      <alignment horizontal="center"/>
    </xf>
    <xf numFmtId="0" fontId="5" fillId="0" borderId="6" xfId="0" applyFont="1" applyFill="1" applyBorder="1"/>
    <xf numFmtId="0" fontId="0" fillId="0" borderId="14" xfId="0" applyBorder="1"/>
    <xf numFmtId="0" fontId="0" fillId="0" borderId="13" xfId="0" applyBorder="1"/>
    <xf numFmtId="0" fontId="0" fillId="0" borderId="15" xfId="0" applyBorder="1" applyAlignment="1">
      <alignment horizontal="right" vertical="center" shrinkToFit="1"/>
    </xf>
    <xf numFmtId="0" fontId="0" fillId="0" borderId="3" xfId="0" applyBorder="1" applyAlignment="1">
      <alignment horizontal="right" vertical="center"/>
    </xf>
    <xf numFmtId="0" fontId="1" fillId="0" borderId="0" xfId="0" applyFont="1" applyFill="1"/>
    <xf numFmtId="0" fontId="5" fillId="0" borderId="5" xfId="0" applyFont="1" applyBorder="1" applyAlignment="1">
      <alignment horizontal="left"/>
    </xf>
    <xf numFmtId="0" fontId="51" fillId="2" borderId="12" xfId="0" applyFont="1" applyFill="1" applyBorder="1" applyProtection="1">
      <protection locked="0"/>
    </xf>
    <xf numFmtId="0" fontId="6" fillId="0" borderId="9" xfId="0" applyFont="1" applyBorder="1" applyAlignment="1">
      <alignment horizontal="right"/>
    </xf>
    <xf numFmtId="0" fontId="6" fillId="0" borderId="6" xfId="0" applyFont="1" applyBorder="1" applyAlignment="1">
      <alignment horizontal="left" vertical="center" wrapText="1"/>
    </xf>
    <xf numFmtId="0" fontId="35" fillId="0" borderId="6" xfId="0" applyFont="1" applyFill="1" applyBorder="1" applyAlignment="1">
      <alignment horizontal="center" vertical="center"/>
    </xf>
    <xf numFmtId="9" fontId="16" fillId="16" borderId="6" xfId="0" quotePrefix="1" applyNumberFormat="1" applyFont="1" applyFill="1" applyBorder="1" applyAlignment="1">
      <alignment horizontal="center" vertical="center" wrapText="1"/>
    </xf>
    <xf numFmtId="0" fontId="13" fillId="24" borderId="6" xfId="34" applyFont="1" applyFill="1" applyBorder="1" applyAlignment="1">
      <alignment horizontal="center" textRotation="90" wrapText="1"/>
    </xf>
    <xf numFmtId="0" fontId="13" fillId="24" borderId="6" xfId="34" applyFont="1" applyFill="1" applyBorder="1" applyAlignment="1">
      <alignment horizontal="left" textRotation="90" wrapText="1"/>
    </xf>
    <xf numFmtId="0" fontId="13" fillId="24" borderId="6" xfId="35" applyFont="1" applyFill="1" applyBorder="1" applyAlignment="1">
      <alignment horizontal="center" textRotation="90" wrapText="1"/>
    </xf>
    <xf numFmtId="0" fontId="15" fillId="24" borderId="6" xfId="0" applyFont="1" applyFill="1" applyBorder="1" applyAlignment="1">
      <alignment textRotation="90" wrapText="1"/>
    </xf>
    <xf numFmtId="0" fontId="0" fillId="0" borderId="0" xfId="0" applyBorder="1" applyAlignment="1">
      <alignment horizontal="left" vertical="top" wrapText="1"/>
    </xf>
    <xf numFmtId="0" fontId="63" fillId="0" borderId="5" xfId="0" applyFont="1" applyBorder="1" applyAlignment="1">
      <alignment horizontal="left"/>
    </xf>
    <xf numFmtId="0" fontId="15" fillId="0" borderId="0" xfId="0" applyFont="1" applyBorder="1"/>
    <xf numFmtId="0" fontId="0" fillId="0" borderId="0" xfId="0" applyBorder="1" applyAlignment="1">
      <alignment horizontal="right"/>
    </xf>
    <xf numFmtId="0" fontId="98" fillId="0" borderId="0" xfId="0" applyFont="1" applyBorder="1" applyAlignment="1">
      <alignment horizontal="left" vertical="top"/>
    </xf>
    <xf numFmtId="0" fontId="98" fillId="0" borderId="0" xfId="0" applyFont="1" applyAlignment="1">
      <alignment horizontal="left" vertical="top"/>
    </xf>
    <xf numFmtId="0" fontId="98" fillId="0" borderId="11" xfId="0" applyFont="1" applyBorder="1" applyAlignment="1">
      <alignment horizontal="left" vertical="top"/>
    </xf>
    <xf numFmtId="0" fontId="0" fillId="0" borderId="12" xfId="0" applyFill="1" applyBorder="1" applyAlignment="1">
      <alignment horizontal="left" vertical="center"/>
    </xf>
    <xf numFmtId="0" fontId="4" fillId="0" borderId="14" xfId="0" applyFont="1" applyFill="1" applyBorder="1" applyAlignment="1">
      <alignment horizontal="left" vertical="center"/>
    </xf>
    <xf numFmtId="0" fontId="0" fillId="0" borderId="68" xfId="0" applyFont="1" applyBorder="1" applyAlignment="1">
      <alignment vertical="center"/>
    </xf>
    <xf numFmtId="0" fontId="4" fillId="0" borderId="68" xfId="0" applyFont="1" applyBorder="1" applyAlignment="1">
      <alignment vertical="center"/>
    </xf>
    <xf numFmtId="0" fontId="0" fillId="0" borderId="81" xfId="0" applyFont="1" applyBorder="1" applyAlignment="1">
      <alignment vertical="center"/>
    </xf>
    <xf numFmtId="1" fontId="0" fillId="4" borderId="4" xfId="0" applyNumberFormat="1" applyFont="1" applyFill="1" applyBorder="1" applyAlignment="1">
      <alignment vertical="center"/>
    </xf>
    <xf numFmtId="1" fontId="0" fillId="5" borderId="75" xfId="0" applyNumberFormat="1" applyFont="1" applyFill="1" applyBorder="1" applyAlignment="1">
      <alignment vertical="center"/>
    </xf>
    <xf numFmtId="0" fontId="0" fillId="5" borderId="81" xfId="0" applyFont="1" applyFill="1" applyBorder="1" applyAlignment="1">
      <alignment vertical="center"/>
    </xf>
    <xf numFmtId="0" fontId="0" fillId="0" borderId="82" xfId="0" applyFont="1" applyBorder="1" applyAlignment="1">
      <alignment readingOrder="1"/>
    </xf>
    <xf numFmtId="0" fontId="0" fillId="0" borderId="77" xfId="0" applyFont="1" applyBorder="1"/>
    <xf numFmtId="0" fontId="4" fillId="0" borderId="82" xfId="0" applyFont="1" applyBorder="1"/>
    <xf numFmtId="0" fontId="0" fillId="4" borderId="77" xfId="0" applyFont="1" applyFill="1" applyBorder="1"/>
    <xf numFmtId="0" fontId="0" fillId="5" borderId="77" xfId="0" applyFont="1" applyFill="1" applyBorder="1"/>
    <xf numFmtId="0" fontId="0" fillId="5" borderId="83" xfId="0" applyFont="1" applyFill="1" applyBorder="1"/>
    <xf numFmtId="0" fontId="2" fillId="5" borderId="5" xfId="0" applyFont="1" applyFill="1" applyBorder="1" applyAlignment="1">
      <alignment vertical="center"/>
    </xf>
    <xf numFmtId="0" fontId="2" fillId="4" borderId="5" xfId="0" applyFont="1" applyFill="1" applyBorder="1" applyAlignment="1">
      <alignment vertical="center"/>
    </xf>
    <xf numFmtId="0" fontId="6" fillId="0" borderId="6" xfId="0" applyFont="1" applyFill="1" applyBorder="1" applyAlignment="1">
      <alignment horizontal="left" vertical="center" wrapText="1"/>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45" fillId="0" borderId="104" xfId="0" applyFont="1" applyBorder="1" applyAlignment="1">
      <alignment horizontal="center" vertical="center"/>
    </xf>
    <xf numFmtId="0" fontId="45" fillId="24" borderId="107" xfId="0" applyFont="1" applyFill="1" applyBorder="1" applyAlignment="1">
      <alignment horizontal="center" vertical="center"/>
    </xf>
    <xf numFmtId="0" fontId="45" fillId="0" borderId="109" xfId="0" applyFont="1" applyBorder="1" applyAlignment="1">
      <alignment horizontal="center" vertical="center"/>
    </xf>
    <xf numFmtId="0" fontId="6" fillId="0" borderId="100" xfId="0" applyFont="1" applyFill="1" applyBorder="1" applyAlignment="1">
      <alignment vertical="center"/>
    </xf>
    <xf numFmtId="0" fontId="0" fillId="0" borderId="15" xfId="0" applyFont="1" applyFill="1" applyBorder="1" applyAlignment="1">
      <alignment vertical="center"/>
    </xf>
    <xf numFmtId="0" fontId="6" fillId="0" borderId="15" xfId="0" applyFont="1" applyFill="1" applyBorder="1" applyAlignment="1">
      <alignment vertical="center"/>
    </xf>
    <xf numFmtId="0" fontId="6" fillId="24" borderId="90" xfId="0" applyFont="1" applyFill="1" applyBorder="1" applyAlignment="1">
      <alignment vertical="center"/>
    </xf>
    <xf numFmtId="0" fontId="6" fillId="24" borderId="91" xfId="0" applyFont="1" applyFill="1" applyBorder="1" applyAlignment="1">
      <alignment vertical="center"/>
    </xf>
    <xf numFmtId="0" fontId="6" fillId="0" borderId="108" xfId="0" applyFont="1" applyBorder="1" applyAlignment="1">
      <alignment vertical="center"/>
    </xf>
    <xf numFmtId="0" fontId="6" fillId="0" borderId="13" xfId="0" applyFont="1" applyBorder="1" applyAlignment="1">
      <alignment vertical="center"/>
    </xf>
    <xf numFmtId="0" fontId="45" fillId="0" borderId="105" xfId="0" applyFont="1" applyBorder="1" applyAlignment="1">
      <alignment horizontal="center" vertical="center"/>
    </xf>
    <xf numFmtId="0" fontId="6" fillId="0" borderId="96" xfId="0" applyFont="1" applyFill="1" applyBorder="1" applyAlignment="1">
      <alignment vertical="center"/>
    </xf>
    <xf numFmtId="0" fontId="0" fillId="0" borderId="98" xfId="0" applyFont="1" applyFill="1" applyBorder="1" applyAlignment="1">
      <alignment vertical="center"/>
    </xf>
    <xf numFmtId="0" fontId="0" fillId="24" borderId="91" xfId="0" applyFont="1" applyFill="1" applyBorder="1" applyAlignment="1">
      <alignment vertical="center"/>
    </xf>
    <xf numFmtId="0" fontId="0" fillId="30" borderId="6" xfId="0" applyFill="1" applyBorder="1"/>
    <xf numFmtId="0" fontId="0" fillId="30" borderId="6" xfId="0" applyFill="1" applyBorder="1" applyAlignment="1">
      <alignment horizontal="center"/>
    </xf>
    <xf numFmtId="0" fontId="2" fillId="30" borderId="6" xfId="0" applyFont="1" applyFill="1" applyBorder="1"/>
    <xf numFmtId="0" fontId="0" fillId="30" borderId="6" xfId="0" applyFont="1" applyFill="1" applyBorder="1"/>
    <xf numFmtId="0" fontId="0" fillId="30" borderId="6" xfId="0" applyFont="1" applyFill="1" applyBorder="1" applyAlignment="1">
      <alignment horizontal="center"/>
    </xf>
    <xf numFmtId="0" fontId="0" fillId="31" borderId="6" xfId="0" applyFill="1" applyBorder="1"/>
    <xf numFmtId="0" fontId="0" fillId="31" borderId="6" xfId="0" applyFill="1" applyBorder="1" applyAlignment="1">
      <alignment horizontal="center"/>
    </xf>
    <xf numFmtId="0" fontId="0" fillId="31" borderId="6" xfId="0" applyFont="1" applyFill="1" applyBorder="1"/>
    <xf numFmtId="0" fontId="0" fillId="31" borderId="6" xfId="0" applyFont="1" applyFill="1" applyBorder="1" applyAlignment="1">
      <alignment horizontal="center"/>
    </xf>
    <xf numFmtId="3" fontId="0" fillId="31" borderId="6" xfId="0" applyNumberFormat="1" applyFill="1" applyBorder="1" applyAlignment="1">
      <alignment horizontal="center"/>
    </xf>
    <xf numFmtId="0" fontId="70" fillId="31" borderId="6" xfId="0" applyFont="1" applyFill="1" applyBorder="1"/>
    <xf numFmtId="2" fontId="0" fillId="31" borderId="6" xfId="0" applyNumberFormat="1" applyFill="1" applyBorder="1"/>
    <xf numFmtId="0" fontId="1" fillId="31" borderId="6" xfId="0" applyFont="1" applyFill="1" applyBorder="1"/>
    <xf numFmtId="16" fontId="0" fillId="31" borderId="6" xfId="0" applyNumberFormat="1" applyFill="1" applyBorder="1"/>
    <xf numFmtId="0" fontId="0" fillId="31" borderId="6" xfId="0" applyNumberFormat="1" applyFill="1" applyBorder="1"/>
    <xf numFmtId="0" fontId="0" fillId="31" borderId="6" xfId="0" applyNumberFormat="1" applyFill="1" applyBorder="1" applyAlignment="1">
      <alignment horizontal="center"/>
    </xf>
    <xf numFmtId="171" fontId="0" fillId="31" borderId="6" xfId="0" applyNumberFormat="1" applyFill="1" applyBorder="1"/>
    <xf numFmtId="0" fontId="2" fillId="31" borderId="6" xfId="0" applyFont="1" applyFill="1" applyBorder="1"/>
    <xf numFmtId="0" fontId="0" fillId="31" borderId="0" xfId="0" applyFill="1"/>
    <xf numFmtId="9" fontId="0" fillId="31" borderId="6" xfId="0" applyNumberFormat="1" applyFill="1" applyBorder="1"/>
    <xf numFmtId="16" fontId="0" fillId="31" borderId="6" xfId="0" applyNumberFormat="1" applyFill="1" applyBorder="1" applyAlignment="1">
      <alignment horizontal="center"/>
    </xf>
    <xf numFmtId="0" fontId="6" fillId="31" borderId="6" xfId="0" applyFont="1" applyFill="1" applyBorder="1" applyAlignment="1">
      <alignment horizontal="center"/>
    </xf>
    <xf numFmtId="0" fontId="4" fillId="31" borderId="6" xfId="0" applyFont="1" applyFill="1" applyBorder="1"/>
    <xf numFmtId="0" fontId="24" fillId="31" borderId="6" xfId="0" applyFont="1" applyFill="1" applyBorder="1" applyAlignment="1">
      <alignment wrapText="1"/>
    </xf>
    <xf numFmtId="0" fontId="0" fillId="31" borderId="6" xfId="0" applyFill="1" applyBorder="1" applyAlignment="1">
      <alignment horizontal="right"/>
    </xf>
    <xf numFmtId="164" fontId="2" fillId="31" borderId="6" xfId="0" applyNumberFormat="1" applyFont="1" applyFill="1" applyBorder="1"/>
    <xf numFmtId="1" fontId="2" fillId="31" borderId="6" xfId="0" applyNumberFormat="1" applyFont="1" applyFill="1" applyBorder="1"/>
    <xf numFmtId="0" fontId="2" fillId="31" borderId="6" xfId="0" applyFont="1" applyFill="1" applyBorder="1" applyAlignment="1">
      <alignment horizontal="right"/>
    </xf>
    <xf numFmtId="3" fontId="0" fillId="31" borderId="6" xfId="0" applyNumberFormat="1" applyFill="1" applyBorder="1"/>
    <xf numFmtId="0" fontId="0" fillId="31" borderId="6" xfId="0" applyFill="1" applyBorder="1" applyAlignment="1">
      <alignment horizontal="center" vertical="center"/>
    </xf>
    <xf numFmtId="164" fontId="0" fillId="31" borderId="6" xfId="0" applyNumberFormat="1" applyFill="1" applyBorder="1"/>
    <xf numFmtId="0" fontId="2" fillId="31" borderId="6" xfId="0" applyFont="1" applyFill="1" applyBorder="1" applyAlignment="1">
      <alignment horizontal="center" vertical="center"/>
    </xf>
    <xf numFmtId="0" fontId="1" fillId="31" borderId="6" xfId="0" applyFont="1" applyFill="1" applyBorder="1" applyAlignment="1">
      <alignment horizontal="right"/>
    </xf>
    <xf numFmtId="0" fontId="1" fillId="31" borderId="6" xfId="0" applyFont="1" applyFill="1" applyBorder="1" applyAlignment="1">
      <alignment horizontal="center"/>
    </xf>
    <xf numFmtId="0" fontId="0" fillId="32" borderId="6" xfId="0" applyFill="1" applyBorder="1"/>
    <xf numFmtId="0" fontId="0" fillId="32" borderId="6" xfId="0" applyFill="1" applyBorder="1" applyAlignment="1">
      <alignment horizontal="center"/>
    </xf>
    <xf numFmtId="0" fontId="2" fillId="32" borderId="6" xfId="0" applyFont="1" applyFill="1" applyBorder="1"/>
    <xf numFmtId="0" fontId="0" fillId="32" borderId="6" xfId="0" applyFont="1" applyFill="1" applyBorder="1"/>
    <xf numFmtId="0" fontId="0" fillId="32" borderId="6" xfId="0" applyFont="1" applyFill="1" applyBorder="1" applyAlignment="1">
      <alignment horizontal="center"/>
    </xf>
    <xf numFmtId="2" fontId="0" fillId="32" borderId="6" xfId="0" applyNumberFormat="1" applyFill="1" applyBorder="1"/>
    <xf numFmtId="4" fontId="0" fillId="32" borderId="6" xfId="0" applyNumberFormat="1" applyFill="1" applyBorder="1"/>
    <xf numFmtId="172" fontId="2" fillId="32" borderId="6" xfId="0" applyNumberFormat="1" applyFont="1" applyFill="1" applyBorder="1"/>
    <xf numFmtId="3" fontId="0" fillId="32" borderId="6" xfId="0" applyNumberFormat="1" applyFill="1" applyBorder="1"/>
    <xf numFmtId="0" fontId="7" fillId="32" borderId="6" xfId="0" applyFont="1" applyFill="1" applyBorder="1"/>
    <xf numFmtId="0" fontId="43" fillId="32" borderId="6" xfId="0" applyFont="1" applyFill="1" applyBorder="1" applyAlignment="1">
      <alignment horizontal="center"/>
    </xf>
    <xf numFmtId="0" fontId="1" fillId="32" borderId="6" xfId="0" applyFont="1" applyFill="1" applyBorder="1" applyAlignment="1">
      <alignment horizontal="center"/>
    </xf>
    <xf numFmtId="0" fontId="2" fillId="31" borderId="6" xfId="0" applyFont="1" applyFill="1" applyBorder="1" applyAlignment="1">
      <alignment horizontal="center"/>
    </xf>
    <xf numFmtId="3" fontId="2" fillId="31" borderId="6" xfId="0" applyNumberFormat="1" applyFont="1" applyFill="1" applyBorder="1"/>
    <xf numFmtId="2" fontId="2" fillId="31" borderId="6" xfId="0" applyNumberFormat="1" applyFont="1" applyFill="1" applyBorder="1"/>
    <xf numFmtId="2" fontId="2" fillId="31" borderId="6" xfId="0" applyNumberFormat="1" applyFont="1" applyFill="1" applyBorder="1" applyAlignment="1">
      <alignment horizontal="center"/>
    </xf>
    <xf numFmtId="171" fontId="43" fillId="31" borderId="6" xfId="0" applyNumberFormat="1" applyFont="1" applyFill="1" applyBorder="1"/>
    <xf numFmtId="171" fontId="2" fillId="31" borderId="6" xfId="0" applyNumberFormat="1" applyFont="1" applyFill="1" applyBorder="1"/>
    <xf numFmtId="171" fontId="0" fillId="31" borderId="6" xfId="0" applyNumberFormat="1" applyFont="1" applyFill="1" applyBorder="1"/>
    <xf numFmtId="171" fontId="0" fillId="31" borderId="6" xfId="0" applyNumberFormat="1" applyFill="1" applyBorder="1" applyAlignment="1">
      <alignment horizontal="center"/>
    </xf>
    <xf numFmtId="171" fontId="1" fillId="31" borderId="6" xfId="0" applyNumberFormat="1" applyFont="1" applyFill="1" applyBorder="1"/>
    <xf numFmtId="0" fontId="24" fillId="31" borderId="6" xfId="0" applyFont="1" applyFill="1" applyBorder="1" applyAlignment="1">
      <alignment horizontal="right"/>
    </xf>
    <xf numFmtId="0" fontId="4" fillId="31" borderId="6" xfId="0" applyFont="1" applyFill="1" applyBorder="1" applyAlignment="1">
      <alignment horizontal="right"/>
    </xf>
    <xf numFmtId="0" fontId="0" fillId="31" borderId="6" xfId="0" applyFill="1" applyBorder="1" applyAlignment="1">
      <alignment horizontal="left"/>
    </xf>
    <xf numFmtId="0" fontId="68" fillId="31" borderId="6" xfId="0" applyFont="1" applyFill="1" applyBorder="1" applyAlignment="1">
      <alignment horizontal="right"/>
    </xf>
    <xf numFmtId="2" fontId="2" fillId="31" borderId="6" xfId="0" applyNumberFormat="1" applyFont="1" applyFill="1" applyBorder="1" applyAlignment="1">
      <alignment horizontal="right"/>
    </xf>
    <xf numFmtId="0" fontId="4" fillId="32" borderId="6" xfId="0" applyFont="1" applyFill="1" applyBorder="1" applyAlignment="1">
      <alignment horizontal="center"/>
    </xf>
    <xf numFmtId="0" fontId="0" fillId="32" borderId="6" xfId="0" applyFill="1" applyBorder="1" applyAlignment="1">
      <alignment horizontal="right"/>
    </xf>
    <xf numFmtId="3" fontId="0" fillId="32" borderId="6" xfId="0" applyNumberFormat="1" applyFill="1" applyBorder="1" applyAlignment="1">
      <alignment horizontal="center"/>
    </xf>
    <xf numFmtId="0" fontId="53" fillId="32" borderId="6" xfId="0" applyFont="1" applyFill="1" applyBorder="1"/>
    <xf numFmtId="4" fontId="0" fillId="32" borderId="6" xfId="0" applyNumberFormat="1" applyFill="1" applyBorder="1" applyAlignment="1">
      <alignment horizontal="center"/>
    </xf>
    <xf numFmtId="1" fontId="0" fillId="32" borderId="6" xfId="0" applyNumberFormat="1" applyFill="1" applyBorder="1" applyAlignment="1">
      <alignment vertical="center"/>
    </xf>
    <xf numFmtId="0" fontId="2" fillId="32" borderId="6" xfId="0" applyFont="1" applyFill="1" applyBorder="1" applyAlignment="1">
      <alignment horizontal="center"/>
    </xf>
    <xf numFmtId="0" fontId="1" fillId="32" borderId="6" xfId="0" applyFont="1" applyFill="1" applyBorder="1"/>
    <xf numFmtId="0" fontId="7" fillId="32" borderId="6" xfId="0" applyFont="1" applyFill="1" applyBorder="1" applyAlignment="1">
      <alignment horizontal="center"/>
    </xf>
    <xf numFmtId="0" fontId="43" fillId="31" borderId="6" xfId="0" applyFont="1" applyFill="1" applyBorder="1"/>
    <xf numFmtId="0" fontId="43" fillId="31" borderId="6" xfId="0" applyFont="1" applyFill="1" applyBorder="1" applyAlignment="1">
      <alignment horizontal="center"/>
    </xf>
    <xf numFmtId="1" fontId="0" fillId="31" borderId="6" xfId="0" applyNumberFormat="1" applyFill="1" applyBorder="1"/>
    <xf numFmtId="172" fontId="2" fillId="31" borderId="11" xfId="0" applyNumberFormat="1" applyFont="1" applyFill="1" applyBorder="1" applyAlignment="1">
      <alignment vertical="center"/>
    </xf>
    <xf numFmtId="0" fontId="71" fillId="31" borderId="6" xfId="0" applyFont="1" applyFill="1" applyBorder="1" applyAlignment="1">
      <alignment horizontal="right"/>
    </xf>
    <xf numFmtId="9" fontId="0" fillId="31" borderId="6" xfId="41" applyFont="1" applyFill="1" applyBorder="1"/>
    <xf numFmtId="10" fontId="0" fillId="31" borderId="6" xfId="0" applyNumberFormat="1" applyFill="1" applyBorder="1"/>
    <xf numFmtId="170" fontId="2" fillId="31" borderId="6" xfId="41" applyNumberFormat="1" applyFont="1" applyFill="1" applyBorder="1"/>
    <xf numFmtId="0" fontId="70" fillId="31" borderId="6" xfId="0" applyFont="1" applyFill="1" applyBorder="1" applyAlignment="1">
      <alignment horizontal="right"/>
    </xf>
    <xf numFmtId="0" fontId="15" fillId="31" borderId="6" xfId="0" applyFont="1" applyFill="1" applyBorder="1"/>
    <xf numFmtId="0" fontId="24" fillId="31" borderId="6" xfId="0" applyFont="1" applyFill="1" applyBorder="1"/>
    <xf numFmtId="0" fontId="15" fillId="31" borderId="6" xfId="0" applyFont="1" applyFill="1" applyBorder="1" applyAlignment="1">
      <alignment wrapText="1"/>
    </xf>
    <xf numFmtId="3" fontId="36" fillId="31" borderId="6" xfId="0" applyNumberFormat="1" applyFont="1" applyFill="1" applyBorder="1" applyAlignment="1">
      <alignment horizontal="center"/>
    </xf>
    <xf numFmtId="0" fontId="56" fillId="31" borderId="6" xfId="0" applyFont="1" applyFill="1" applyBorder="1"/>
    <xf numFmtId="3" fontId="43" fillId="31" borderId="6" xfId="0" applyNumberFormat="1" applyFont="1" applyFill="1" applyBorder="1" applyAlignment="1">
      <alignment horizontal="center"/>
    </xf>
    <xf numFmtId="0" fontId="2" fillId="31" borderId="6" xfId="0" applyFont="1" applyFill="1" applyBorder="1" applyAlignment="1">
      <alignment horizontal="left"/>
    </xf>
    <xf numFmtId="0" fontId="0" fillId="31" borderId="6" xfId="0" applyFont="1" applyFill="1" applyBorder="1" applyAlignment="1">
      <alignment horizontal="left"/>
    </xf>
    <xf numFmtId="3" fontId="0" fillId="31" borderId="6" xfId="0" applyNumberFormat="1" applyFill="1" applyBorder="1" applyAlignment="1">
      <alignment horizontal="right"/>
    </xf>
    <xf numFmtId="173" fontId="0" fillId="32" borderId="6" xfId="0" applyNumberFormat="1" applyFill="1" applyBorder="1"/>
    <xf numFmtId="2" fontId="2" fillId="32" borderId="6" xfId="0" applyNumberFormat="1" applyFont="1" applyFill="1" applyBorder="1"/>
    <xf numFmtId="2" fontId="0" fillId="32" borderId="6" xfId="0" applyNumberFormat="1" applyFont="1" applyFill="1" applyBorder="1" applyAlignment="1">
      <alignment horizontal="center"/>
    </xf>
    <xf numFmtId="2" fontId="2" fillId="32" borderId="6" xfId="0" applyNumberFormat="1" applyFont="1" applyFill="1" applyBorder="1" applyAlignment="1">
      <alignment horizontal="center"/>
    </xf>
    <xf numFmtId="0" fontId="0" fillId="32" borderId="6" xfId="0" applyFont="1" applyFill="1" applyBorder="1" applyAlignment="1">
      <alignment vertical="center"/>
    </xf>
    <xf numFmtId="0" fontId="2" fillId="32" borderId="6" xfId="0" applyFont="1" applyFill="1" applyBorder="1" applyAlignment="1">
      <alignment horizontal="right"/>
    </xf>
    <xf numFmtId="2" fontId="0" fillId="32" borderId="6" xfId="0" applyNumberFormat="1" applyFill="1" applyBorder="1" applyAlignment="1">
      <alignment horizontal="right"/>
    </xf>
    <xf numFmtId="0" fontId="0" fillId="30" borderId="0" xfId="0" applyFill="1"/>
    <xf numFmtId="0" fontId="100" fillId="0" borderId="0" xfId="0" applyFont="1" applyAlignment="1">
      <alignment vertical="top" wrapText="1"/>
    </xf>
    <xf numFmtId="0" fontId="100" fillId="0" borderId="11" xfId="0" applyFont="1" applyBorder="1" applyAlignment="1">
      <alignment vertical="top" wrapText="1"/>
    </xf>
    <xf numFmtId="0" fontId="100" fillId="0" borderId="11" xfId="0" applyFont="1" applyFill="1" applyBorder="1" applyAlignment="1">
      <alignment horizontal="center" vertical="center" wrapText="1"/>
    </xf>
    <xf numFmtId="0" fontId="5" fillId="0" borderId="0" xfId="0" applyFont="1" applyBorder="1" applyAlignment="1">
      <alignment vertical="center"/>
    </xf>
    <xf numFmtId="0" fontId="1" fillId="0" borderId="0" xfId="0" applyFont="1" applyFill="1" applyAlignment="1">
      <alignment vertical="center"/>
    </xf>
    <xf numFmtId="0" fontId="0" fillId="0" borderId="0" xfId="0" applyFill="1" applyAlignment="1">
      <alignment horizontal="right" vertical="center"/>
    </xf>
    <xf numFmtId="0" fontId="4" fillId="0" borderId="14" xfId="0" applyFont="1" applyFill="1" applyBorder="1" applyAlignment="1" applyProtection="1">
      <alignment horizontal="left"/>
    </xf>
    <xf numFmtId="0" fontId="0" fillId="0" borderId="14" xfId="0" applyFill="1" applyBorder="1" applyProtection="1"/>
    <xf numFmtId="0" fontId="0" fillId="0" borderId="0" xfId="0" applyBorder="1" applyProtection="1"/>
    <xf numFmtId="0" fontId="0" fillId="0" borderId="0" xfId="0" applyFill="1" applyBorder="1" applyProtection="1"/>
    <xf numFmtId="0" fontId="4" fillId="0" borderId="11" xfId="0" applyFont="1" applyFill="1" applyBorder="1" applyAlignment="1" applyProtection="1">
      <alignment horizontal="right"/>
    </xf>
    <xf numFmtId="0" fontId="5" fillId="24" borderId="11" xfId="0" applyFont="1" applyFill="1" applyBorder="1" applyAlignment="1">
      <alignment horizontal="right"/>
    </xf>
    <xf numFmtId="0" fontId="0" fillId="0" borderId="6" xfId="0" applyFill="1" applyBorder="1" applyAlignment="1">
      <alignment wrapText="1"/>
    </xf>
    <xf numFmtId="0" fontId="0" fillId="33" borderId="6" xfId="0" applyFill="1" applyBorder="1" applyAlignment="1">
      <alignment horizontal="center"/>
    </xf>
    <xf numFmtId="0" fontId="0" fillId="33" borderId="6" xfId="0" applyFill="1" applyBorder="1"/>
    <xf numFmtId="0" fontId="0" fillId="33" borderId="6" xfId="0" applyFont="1" applyFill="1" applyBorder="1"/>
    <xf numFmtId="175" fontId="0" fillId="4" borderId="10" xfId="0" applyNumberFormat="1" applyFill="1" applyBorder="1"/>
    <xf numFmtId="176" fontId="0" fillId="5" borderId="17" xfId="0" applyNumberFormat="1" applyFill="1" applyBorder="1"/>
    <xf numFmtId="0" fontId="4" fillId="0" borderId="5" xfId="0" applyFont="1" applyBorder="1" applyAlignment="1">
      <alignment vertical="top"/>
    </xf>
    <xf numFmtId="0" fontId="0" fillId="0" borderId="11" xfId="0" applyBorder="1" applyAlignment="1">
      <alignment vertical="top"/>
    </xf>
    <xf numFmtId="3" fontId="0" fillId="4" borderId="0" xfId="0" applyNumberFormat="1" applyFont="1" applyFill="1" applyBorder="1" applyAlignment="1">
      <alignment vertical="top"/>
    </xf>
    <xf numFmtId="3" fontId="0" fillId="5" borderId="17" xfId="0" applyNumberFormat="1" applyFont="1" applyFill="1" applyBorder="1" applyAlignment="1">
      <alignment vertical="top"/>
    </xf>
    <xf numFmtId="3" fontId="0" fillId="5" borderId="11" xfId="0" applyNumberFormat="1" applyFont="1" applyFill="1" applyBorder="1" applyAlignment="1">
      <alignment vertical="top"/>
    </xf>
    <xf numFmtId="0" fontId="4" fillId="0" borderId="11" xfId="0" applyFont="1" applyBorder="1" applyAlignment="1">
      <alignment vertical="top"/>
    </xf>
    <xf numFmtId="3" fontId="0" fillId="4" borderId="17" xfId="0" applyNumberFormat="1" applyFont="1" applyFill="1" applyBorder="1" applyAlignment="1">
      <alignment horizontal="right" vertical="top"/>
    </xf>
    <xf numFmtId="3" fontId="0" fillId="5" borderId="17" xfId="0" applyNumberFormat="1" applyFont="1" applyFill="1" applyBorder="1" applyAlignment="1">
      <alignment horizontal="right" vertical="top"/>
    </xf>
    <xf numFmtId="0" fontId="4" fillId="0" borderId="1" xfId="0" applyFont="1" applyBorder="1" applyAlignment="1">
      <alignment vertical="top"/>
    </xf>
    <xf numFmtId="0" fontId="0" fillId="0" borderId="3" xfId="0" applyFont="1" applyBorder="1" applyAlignment="1">
      <alignment vertical="top"/>
    </xf>
    <xf numFmtId="1" fontId="0" fillId="4" borderId="2" xfId="0" applyNumberFormat="1" applyFont="1" applyFill="1" applyBorder="1" applyAlignment="1">
      <alignment vertical="top"/>
    </xf>
    <xf numFmtId="1" fontId="0" fillId="5" borderId="15" xfId="0" applyNumberFormat="1" applyFont="1" applyFill="1" applyBorder="1" applyAlignment="1">
      <alignment vertical="top"/>
    </xf>
    <xf numFmtId="1" fontId="0" fillId="5" borderId="3" xfId="0" applyNumberFormat="1" applyFont="1" applyFill="1" applyBorder="1" applyAlignment="1">
      <alignment vertical="top"/>
    </xf>
    <xf numFmtId="0" fontId="0" fillId="0" borderId="0" xfId="0" applyAlignment="1">
      <alignment vertical="top"/>
    </xf>
    <xf numFmtId="0" fontId="0" fillId="0" borderId="0" xfId="0" applyBorder="1" applyAlignment="1">
      <alignment vertical="top"/>
    </xf>
    <xf numFmtId="0" fontId="103" fillId="0" borderId="61" xfId="0" applyFont="1" applyBorder="1" applyAlignment="1">
      <alignment vertical="center"/>
    </xf>
    <xf numFmtId="0" fontId="45" fillId="0" borderId="68" xfId="0" applyFont="1" applyBorder="1"/>
    <xf numFmtId="0" fontId="105" fillId="0" borderId="5" xfId="0" applyFont="1" applyBorder="1"/>
    <xf numFmtId="0" fontId="2" fillId="10" borderId="6" xfId="0" applyFont="1" applyFill="1" applyBorder="1"/>
    <xf numFmtId="0" fontId="0" fillId="10" borderId="6" xfId="0" applyFill="1" applyBorder="1" applyAlignment="1">
      <alignment horizontal="center"/>
    </xf>
    <xf numFmtId="0" fontId="0" fillId="10" borderId="57" xfId="0" applyFill="1" applyBorder="1" applyAlignment="1">
      <alignment horizontal="center"/>
    </xf>
    <xf numFmtId="0" fontId="0" fillId="10" borderId="92" xfId="0" applyFill="1" applyBorder="1" applyAlignment="1">
      <alignment horizontal="center"/>
    </xf>
    <xf numFmtId="0" fontId="0" fillId="10" borderId="12" xfId="0" applyFill="1" applyBorder="1" applyAlignment="1">
      <alignment horizontal="center"/>
    </xf>
    <xf numFmtId="0" fontId="0" fillId="10" borderId="0" xfId="0" applyFill="1"/>
    <xf numFmtId="0" fontId="0" fillId="10" borderId="6" xfId="0" applyFill="1" applyBorder="1" applyAlignment="1">
      <alignment horizontal="center" vertical="center"/>
    </xf>
    <xf numFmtId="0" fontId="101" fillId="0" borderId="0" xfId="0" applyFont="1" applyBorder="1" applyAlignment="1">
      <alignment horizontal="right" vertical="center"/>
    </xf>
    <xf numFmtId="0" fontId="40" fillId="0" borderId="36" xfId="0" applyFont="1" applyBorder="1"/>
    <xf numFmtId="0" fontId="34" fillId="0" borderId="5" xfId="40" applyBorder="1"/>
    <xf numFmtId="0" fontId="40" fillId="0" borderId="0" xfId="0" applyFont="1" applyFill="1" applyBorder="1" applyAlignment="1">
      <alignment horizontal="right" vertical="center"/>
    </xf>
    <xf numFmtId="0" fontId="0" fillId="0" borderId="0" xfId="0" applyFont="1" applyFill="1" applyBorder="1" applyAlignment="1">
      <alignment horizontal="center" vertical="center" wrapText="1"/>
    </xf>
    <xf numFmtId="0" fontId="0" fillId="0" borderId="0" xfId="0" applyFont="1" applyBorder="1" applyAlignment="1">
      <alignment horizontal="centerContinuous"/>
    </xf>
    <xf numFmtId="0" fontId="0" fillId="0" borderId="6" xfId="0" applyFont="1" applyFill="1" applyBorder="1" applyProtection="1"/>
    <xf numFmtId="0" fontId="0" fillId="0" borderId="6" xfId="0" applyFont="1" applyFill="1" applyBorder="1" applyAlignment="1" applyProtection="1">
      <alignment horizontal="center"/>
    </xf>
    <xf numFmtId="0" fontId="0" fillId="0" borderId="0" xfId="0" applyAlignment="1">
      <alignment vertical="center" wrapText="1"/>
    </xf>
    <xf numFmtId="0" fontId="40" fillId="0" borderId="12" xfId="0" applyFont="1" applyBorder="1" applyAlignment="1">
      <alignment vertical="center"/>
    </xf>
    <xf numFmtId="0" fontId="0" fillId="0" borderId="6" xfId="0" applyBorder="1" applyAlignment="1">
      <alignment horizontal="left" vertical="center" shrinkToFit="1"/>
    </xf>
    <xf numFmtId="0" fontId="5" fillId="0" borderId="5" xfId="0" applyFont="1" applyBorder="1" applyAlignment="1">
      <alignment vertical="top"/>
    </xf>
    <xf numFmtId="0" fontId="1" fillId="0" borderId="5" xfId="0" applyFont="1" applyBorder="1" applyAlignment="1">
      <alignment vertical="top"/>
    </xf>
    <xf numFmtId="0" fontId="63" fillId="0" borderId="8" xfId="0" applyFont="1" applyBorder="1" applyAlignment="1">
      <alignment vertical="top"/>
    </xf>
    <xf numFmtId="0" fontId="5" fillId="0" borderId="1" xfId="0" applyFont="1" applyBorder="1" applyAlignment="1">
      <alignment vertical="top"/>
    </xf>
    <xf numFmtId="0" fontId="0" fillId="0" borderId="14" xfId="0" applyBorder="1"/>
    <xf numFmtId="0" fontId="6" fillId="0" borderId="0" xfId="0" applyFont="1" applyBorder="1" applyAlignment="1">
      <alignment vertical="top"/>
    </xf>
    <xf numFmtId="0" fontId="0" fillId="10" borderId="6" xfId="0" applyFill="1" applyBorder="1" applyAlignment="1" applyProtection="1">
      <alignment horizontal="center"/>
      <protection locked="0"/>
    </xf>
    <xf numFmtId="0" fontId="0" fillId="10" borderId="6" xfId="0" applyFill="1" applyBorder="1" applyProtection="1">
      <protection locked="0"/>
    </xf>
    <xf numFmtId="0" fontId="0" fillId="0" borderId="14" xfId="0" applyBorder="1"/>
    <xf numFmtId="0" fontId="0" fillId="0" borderId="13" xfId="0" applyBorder="1"/>
    <xf numFmtId="0" fontId="51" fillId="0" borderId="12" xfId="0" applyFont="1" applyFill="1" applyBorder="1" applyAlignment="1">
      <alignment horizontal="left"/>
    </xf>
    <xf numFmtId="0" fontId="0" fillId="0" borderId="3" xfId="0" applyBorder="1" applyAlignment="1">
      <alignment horizontal="right"/>
    </xf>
    <xf numFmtId="0" fontId="0" fillId="0" borderId="87" xfId="0" applyBorder="1"/>
    <xf numFmtId="1" fontId="4" fillId="0" borderId="82" xfId="0" applyNumberFormat="1" applyFont="1" applyBorder="1" applyAlignment="1">
      <alignment horizontal="left"/>
    </xf>
    <xf numFmtId="0" fontId="4" fillId="0" borderId="77" xfId="0" applyFont="1" applyFill="1" applyBorder="1"/>
    <xf numFmtId="0" fontId="0" fillId="5" borderId="75" xfId="0" applyFill="1" applyBorder="1" applyAlignment="1">
      <alignment horizontal="right"/>
    </xf>
    <xf numFmtId="0" fontId="0" fillId="0" borderId="88" xfId="0" applyBorder="1"/>
    <xf numFmtId="0" fontId="3" fillId="0" borderId="1" xfId="0" applyFont="1" applyBorder="1"/>
    <xf numFmtId="14" fontId="51" fillId="0" borderId="6" xfId="0" applyNumberFormat="1" applyFont="1" applyFill="1" applyBorder="1"/>
    <xf numFmtId="0" fontId="43" fillId="0" borderId="81" xfId="0" applyFont="1" applyBorder="1" applyAlignment="1">
      <alignment horizontal="right"/>
    </xf>
    <xf numFmtId="0" fontId="0" fillId="0" borderId="82" xfId="0" applyBorder="1"/>
    <xf numFmtId="0" fontId="0" fillId="4" borderId="75" xfId="0" applyFill="1" applyBorder="1" applyAlignment="1">
      <alignment horizontal="right"/>
    </xf>
    <xf numFmtId="0" fontId="0" fillId="0" borderId="14" xfId="0" applyFont="1" applyBorder="1" applyAlignment="1">
      <alignment readingOrder="1"/>
    </xf>
    <xf numFmtId="0" fontId="0" fillId="0" borderId="0" xfId="0" applyProtection="1"/>
    <xf numFmtId="0" fontId="2" fillId="2" borderId="0" xfId="0" applyFont="1" applyFill="1" applyProtection="1"/>
    <xf numFmtId="0" fontId="0" fillId="2" borderId="0" xfId="0" applyFill="1" applyProtection="1"/>
    <xf numFmtId="0" fontId="0" fillId="2" borderId="0" xfId="0" applyFill="1" applyAlignment="1" applyProtection="1">
      <alignment vertical="center"/>
    </xf>
    <xf numFmtId="0" fontId="34" fillId="2" borderId="0" xfId="40" applyFont="1" applyFill="1" applyProtection="1"/>
    <xf numFmtId="0" fontId="66" fillId="2" borderId="0" xfId="40" applyFont="1" applyFill="1" applyProtection="1"/>
    <xf numFmtId="0" fontId="34" fillId="2" borderId="0" xfId="40" applyFill="1" applyProtection="1"/>
    <xf numFmtId="0" fontId="0" fillId="2" borderId="0" xfId="0" applyFill="1" applyAlignment="1" applyProtection="1">
      <alignment vertical="top"/>
    </xf>
    <xf numFmtId="0" fontId="0" fillId="2" borderId="5" xfId="0" applyFill="1" applyBorder="1" applyAlignment="1" applyProtection="1">
      <alignment vertical="center"/>
    </xf>
    <xf numFmtId="0" fontId="0" fillId="0" borderId="95" xfId="0" applyFont="1" applyBorder="1" applyAlignment="1">
      <alignment horizontal="center" vertical="center"/>
    </xf>
    <xf numFmtId="9" fontId="0" fillId="0" borderId="0" xfId="0" applyNumberFormat="1" applyAlignment="1">
      <alignment horizontal="center"/>
    </xf>
    <xf numFmtId="0" fontId="2" fillId="0" borderId="0" xfId="0" applyFont="1"/>
    <xf numFmtId="2" fontId="2" fillId="0" borderId="0" xfId="0" applyNumberFormat="1" applyFont="1"/>
    <xf numFmtId="2" fontId="0" fillId="0" borderId="0" xfId="0" applyNumberFormat="1" applyFont="1"/>
    <xf numFmtId="164" fontId="2" fillId="0" borderId="0" xfId="0" applyNumberFormat="1" applyFont="1"/>
    <xf numFmtId="0" fontId="2" fillId="0" borderId="0" xfId="0" applyFont="1" applyAlignment="1">
      <alignment horizontal="center"/>
    </xf>
    <xf numFmtId="0" fontId="0" fillId="0" borderId="0" xfId="0" applyFont="1" applyAlignment="1">
      <alignment horizontal="center"/>
    </xf>
    <xf numFmtId="3" fontId="0" fillId="0" borderId="0" xfId="0" applyNumberFormat="1" applyAlignment="1">
      <alignment horizontal="center"/>
    </xf>
    <xf numFmtId="3" fontId="2" fillId="0" borderId="0" xfId="0" applyNumberFormat="1" applyFont="1" applyAlignment="1">
      <alignment horizontal="center"/>
    </xf>
    <xf numFmtId="3" fontId="0" fillId="0" borderId="0" xfId="0" applyNumberFormat="1"/>
    <xf numFmtId="4" fontId="16" fillId="17" borderId="74" xfId="44" applyFill="1" applyAlignment="1">
      <alignment horizontal="center" vertical="center"/>
    </xf>
    <xf numFmtId="4" fontId="16" fillId="11" borderId="74" xfId="44" applyFill="1" applyAlignment="1">
      <alignment horizontal="center" vertical="center"/>
    </xf>
    <xf numFmtId="4" fontId="17" fillId="17" borderId="74" xfId="44" applyFont="1" applyFill="1" applyAlignment="1">
      <alignment horizontal="center" vertical="center"/>
    </xf>
    <xf numFmtId="0" fontId="0" fillId="17" borderId="0" xfId="0" applyFill="1"/>
    <xf numFmtId="0" fontId="17" fillId="17" borderId="0" xfId="0" applyFont="1" applyFill="1" applyAlignment="1">
      <alignment horizontal="right"/>
    </xf>
    <xf numFmtId="0" fontId="0" fillId="11" borderId="0" xfId="0" applyFill="1"/>
    <xf numFmtId="0" fontId="0" fillId="18" borderId="0" xfId="0" applyFill="1" applyBorder="1"/>
    <xf numFmtId="3" fontId="27" fillId="17" borderId="20" xfId="38" applyFont="1" applyFill="1">
      <alignment horizontal="center" vertical="center" shrinkToFit="1"/>
    </xf>
    <xf numFmtId="3" fontId="27" fillId="11" borderId="20" xfId="38" applyFont="1" applyFill="1">
      <alignment horizontal="center" vertical="center" shrinkToFit="1"/>
    </xf>
    <xf numFmtId="3" fontId="27" fillId="18" borderId="20" xfId="38" applyFont="1" applyFill="1">
      <alignment horizontal="center" vertical="center" shrinkToFit="1"/>
    </xf>
    <xf numFmtId="0" fontId="2" fillId="18" borderId="0" xfId="0" applyFont="1" applyFill="1" applyBorder="1"/>
    <xf numFmtId="0" fontId="2" fillId="17" borderId="0" xfId="0" applyFont="1" applyFill="1"/>
    <xf numFmtId="4" fontId="16" fillId="17" borderId="74" xfId="44" applyFill="1">
      <alignment vertical="center"/>
    </xf>
    <xf numFmtId="4" fontId="16" fillId="11" borderId="74" xfId="44" applyFill="1">
      <alignment vertical="center"/>
    </xf>
    <xf numFmtId="0" fontId="0" fillId="18" borderId="37" xfId="0" applyFill="1" applyBorder="1"/>
    <xf numFmtId="0" fontId="0" fillId="18" borderId="4" xfId="0" applyFill="1" applyBorder="1"/>
    <xf numFmtId="4" fontId="16" fillId="17" borderId="74" xfId="44" applyFill="1" applyBorder="1" applyAlignment="1">
      <alignment horizontal="center" vertical="center"/>
    </xf>
    <xf numFmtId="3" fontId="21" fillId="17" borderId="110" xfId="38" applyFill="1" applyBorder="1">
      <alignment horizontal="center" vertical="center" shrinkToFit="1"/>
    </xf>
    <xf numFmtId="0" fontId="0" fillId="18" borderId="38" xfId="0" applyFill="1" applyBorder="1"/>
    <xf numFmtId="3" fontId="21" fillId="17" borderId="111" xfId="38" applyFill="1" applyBorder="1">
      <alignment horizontal="center" vertical="center" shrinkToFit="1"/>
    </xf>
    <xf numFmtId="4" fontId="0" fillId="18" borderId="38" xfId="0" applyNumberFormat="1" applyFill="1" applyBorder="1"/>
    <xf numFmtId="4" fontId="0" fillId="18" borderId="0" xfId="0" applyNumberFormat="1" applyFill="1" applyBorder="1"/>
    <xf numFmtId="3" fontId="21" fillId="17" borderId="112" xfId="38" applyFill="1" applyBorder="1">
      <alignment horizontal="center" vertical="center" shrinkToFit="1"/>
    </xf>
    <xf numFmtId="3" fontId="21" fillId="11" borderId="112" xfId="38" applyFill="1" applyBorder="1">
      <alignment horizontal="center" vertical="center" shrinkToFit="1"/>
    </xf>
    <xf numFmtId="3" fontId="21" fillId="0" borderId="112" xfId="38" applyBorder="1">
      <alignment horizontal="center" vertical="center" shrinkToFit="1"/>
    </xf>
    <xf numFmtId="0" fontId="0" fillId="18" borderId="0" xfId="0" applyFill="1"/>
    <xf numFmtId="4" fontId="16" fillId="18" borderId="74" xfId="44" applyFill="1">
      <alignment vertical="center"/>
    </xf>
    <xf numFmtId="0" fontId="17" fillId="17" borderId="0" xfId="0" applyFont="1" applyFill="1"/>
    <xf numFmtId="0" fontId="0" fillId="17" borderId="0" xfId="0" applyFill="1" applyAlignment="1">
      <alignment horizontal="center"/>
    </xf>
    <xf numFmtId="0" fontId="0" fillId="11" borderId="0" xfId="0" applyFill="1" applyAlignment="1">
      <alignment horizontal="center"/>
    </xf>
    <xf numFmtId="0" fontId="0" fillId="18" borderId="0" xfId="0" applyFill="1" applyAlignment="1">
      <alignment horizontal="center"/>
    </xf>
    <xf numFmtId="4" fontId="17" fillId="18" borderId="74" xfId="44" applyFont="1" applyFill="1" applyAlignment="1">
      <alignment horizontal="center" vertical="center"/>
    </xf>
    <xf numFmtId="4" fontId="16" fillId="17" borderId="0" xfId="44" applyFill="1" applyBorder="1" applyAlignment="1">
      <alignment horizontal="center" vertical="center"/>
    </xf>
    <xf numFmtId="0" fontId="16" fillId="17" borderId="0" xfId="36" applyFont="1" applyFill="1">
      <alignment horizontal="right" vertical="center"/>
    </xf>
    <xf numFmtId="0" fontId="31" fillId="17" borderId="0" xfId="39" applyFill="1"/>
    <xf numFmtId="4" fontId="17" fillId="11" borderId="74" xfId="44" applyFont="1" applyFill="1" applyAlignment="1">
      <alignment horizontal="center" vertical="center"/>
    </xf>
    <xf numFmtId="4" fontId="17" fillId="18" borderId="74" xfId="44" applyFont="1" applyFill="1">
      <alignment vertical="center"/>
    </xf>
    <xf numFmtId="4" fontId="17" fillId="17" borderId="74" xfId="44" applyFont="1" applyFill="1">
      <alignment vertical="center"/>
    </xf>
    <xf numFmtId="0" fontId="0" fillId="23" borderId="0" xfId="0" applyFill="1"/>
    <xf numFmtId="0" fontId="0" fillId="23" borderId="0" xfId="0" applyFill="1" applyAlignment="1">
      <alignment horizontal="center"/>
    </xf>
    <xf numFmtId="0" fontId="0" fillId="23" borderId="0" xfId="0" applyFill="1" applyAlignment="1">
      <alignment horizontal="right"/>
    </xf>
    <xf numFmtId="0" fontId="0" fillId="0" borderId="6" xfId="0" applyBorder="1" applyAlignment="1">
      <alignment horizontal="center"/>
    </xf>
    <xf numFmtId="0" fontId="2" fillId="18" borderId="113" xfId="0" applyFont="1" applyFill="1" applyBorder="1" applyAlignment="1">
      <alignment horizontal="center"/>
    </xf>
    <xf numFmtId="0" fontId="2" fillId="18" borderId="39" xfId="0" applyFont="1" applyFill="1" applyBorder="1" applyAlignment="1">
      <alignment horizontal="right"/>
    </xf>
    <xf numFmtId="3" fontId="21" fillId="11" borderId="114" xfId="38" applyFill="1" applyBorder="1">
      <alignment horizontal="center" vertical="center" shrinkToFit="1"/>
    </xf>
    <xf numFmtId="0" fontId="2" fillId="0" borderId="26" xfId="0" applyFont="1" applyFill="1" applyBorder="1" applyAlignment="1">
      <alignment horizontal="right"/>
    </xf>
    <xf numFmtId="0" fontId="0" fillId="0" borderId="26" xfId="0" applyFill="1" applyBorder="1" applyAlignment="1">
      <alignment horizontal="right"/>
    </xf>
    <xf numFmtId="0" fontId="0" fillId="11" borderId="0" xfId="0" applyFill="1" applyBorder="1" applyAlignment="1">
      <alignment horizontal="left"/>
    </xf>
    <xf numFmtId="3" fontId="21" fillId="11" borderId="20" xfId="38" applyFill="1" applyBorder="1">
      <alignment horizontal="center" vertical="center" shrinkToFit="1"/>
    </xf>
    <xf numFmtId="0" fontId="2" fillId="34" borderId="0" xfId="0" applyFont="1" applyFill="1"/>
    <xf numFmtId="0" fontId="0" fillId="0" borderId="6" xfId="0" applyBorder="1" applyAlignment="1">
      <alignment horizontal="left"/>
    </xf>
    <xf numFmtId="0" fontId="0" fillId="0" borderId="13" xfId="0" applyBorder="1"/>
    <xf numFmtId="0" fontId="51" fillId="2" borderId="12" xfId="0" applyFont="1" applyFill="1" applyBorder="1" applyAlignment="1" applyProtection="1">
      <alignment horizontal="left" vertical="center"/>
      <protection locked="0"/>
    </xf>
    <xf numFmtId="0" fontId="51" fillId="2" borderId="13" xfId="0" applyFont="1" applyFill="1" applyBorder="1" applyAlignment="1" applyProtection="1">
      <alignment horizontal="left" vertical="center"/>
      <protection locked="0"/>
    </xf>
    <xf numFmtId="0" fontId="0" fillId="0" borderId="0" xfId="0" applyBorder="1" applyAlignment="1">
      <alignment horizontal="right"/>
    </xf>
    <xf numFmtId="0" fontId="51" fillId="2" borderId="12" xfId="0" applyFont="1" applyFill="1" applyBorder="1" applyAlignment="1" applyProtection="1">
      <alignment horizontal="left"/>
      <protection locked="0"/>
    </xf>
    <xf numFmtId="0" fontId="51" fillId="2" borderId="13" xfId="0" applyFont="1" applyFill="1" applyBorder="1" applyAlignment="1" applyProtection="1">
      <alignment horizontal="left"/>
      <protection locked="0"/>
    </xf>
    <xf numFmtId="14" fontId="0" fillId="0" borderId="0" xfId="0" applyNumberFormat="1"/>
    <xf numFmtId="177" fontId="65" fillId="0" borderId="0" xfId="0" applyNumberFormat="1" applyFont="1" applyFill="1" applyBorder="1" applyProtection="1">
      <protection locked="0"/>
    </xf>
    <xf numFmtId="0" fontId="0" fillId="2" borderId="15" xfId="0" applyFill="1" applyBorder="1" applyAlignment="1" applyProtection="1">
      <alignment vertical="center"/>
      <protection locked="0"/>
    </xf>
    <xf numFmtId="0" fontId="67" fillId="0" borderId="77" xfId="0" applyFont="1" applyBorder="1" applyAlignment="1">
      <alignment horizontal="right" vertical="top" wrapText="1"/>
    </xf>
    <xf numFmtId="0" fontId="104" fillId="0" borderId="77" xfId="0" applyFont="1" applyBorder="1" applyAlignment="1">
      <alignment vertical="top" wrapText="1"/>
    </xf>
    <xf numFmtId="0" fontId="104" fillId="0" borderId="88" xfId="0" applyFont="1" applyBorder="1" applyAlignment="1">
      <alignment vertical="top" wrapText="1"/>
    </xf>
    <xf numFmtId="0" fontId="104" fillId="0" borderId="0" xfId="0" applyFont="1" applyAlignment="1">
      <alignment vertical="top" wrapText="1"/>
    </xf>
    <xf numFmtId="0" fontId="104" fillId="0" borderId="38" xfId="0" applyFont="1" applyBorder="1" applyAlignment="1">
      <alignment vertical="top" wrapText="1"/>
    </xf>
    <xf numFmtId="0" fontId="104" fillId="0" borderId="4" xfId="0" applyFont="1" applyBorder="1" applyAlignment="1">
      <alignment vertical="top" wrapText="1"/>
    </xf>
    <xf numFmtId="0" fontId="104" fillId="0" borderId="37" xfId="0" applyFont="1" applyBorder="1" applyAlignment="1">
      <alignment vertical="top" wrapText="1"/>
    </xf>
    <xf numFmtId="0" fontId="4" fillId="0" borderId="82" xfId="0" applyFont="1" applyBorder="1" applyAlignment="1">
      <alignment horizontal="left" vertical="center" wrapText="1"/>
    </xf>
    <xf numFmtId="0" fontId="0" fillId="0" borderId="77" xfId="0" applyBorder="1" applyAlignment="1">
      <alignment horizontal="left" vertical="center" wrapText="1"/>
    </xf>
    <xf numFmtId="0" fontId="0" fillId="0" borderId="83"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14" xfId="0" applyBorder="1"/>
    <xf numFmtId="0" fontId="0" fillId="0" borderId="13" xfId="0" applyBorder="1"/>
    <xf numFmtId="0" fontId="0" fillId="0" borderId="12" xfId="0" applyBorder="1" applyAlignment="1">
      <alignment horizontal="left" indent="1"/>
    </xf>
    <xf numFmtId="0" fontId="0" fillId="0" borderId="14" xfId="0" applyBorder="1" applyAlignment="1">
      <alignment horizontal="left" indent="1"/>
    </xf>
    <xf numFmtId="0" fontId="0" fillId="0" borderId="13" xfId="0" applyBorder="1" applyAlignment="1">
      <alignment horizontal="left" indent="1"/>
    </xf>
    <xf numFmtId="0" fontId="0" fillId="0" borderId="0" xfId="0" applyFill="1" applyBorder="1" applyAlignment="1">
      <alignment horizontal="left" vertical="top" wrapText="1"/>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0" xfId="0" applyBorder="1" applyAlignment="1">
      <alignment horizontal="left" vertical="center" wrapText="1"/>
    </xf>
    <xf numFmtId="0" fontId="4" fillId="0" borderId="0" xfId="0" applyFont="1" applyBorder="1" applyAlignment="1">
      <alignment horizontal="left" vertical="top" wrapText="1"/>
    </xf>
    <xf numFmtId="0" fontId="6" fillId="0" borderId="0" xfId="0" applyFont="1" applyBorder="1" applyAlignment="1">
      <alignment vertical="top" wrapText="1"/>
    </xf>
    <xf numFmtId="0" fontId="6" fillId="0" borderId="0" xfId="0" applyFont="1" applyBorder="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51" fillId="0" borderId="12" xfId="0" applyFont="1" applyFill="1" applyBorder="1" applyAlignment="1" applyProtection="1">
      <alignment horizontal="left" vertical="center"/>
    </xf>
    <xf numFmtId="0" fontId="51" fillId="0" borderId="13" xfId="0" applyFont="1" applyFill="1" applyBorder="1" applyAlignment="1" applyProtection="1">
      <alignment horizontal="left" vertical="center"/>
    </xf>
    <xf numFmtId="0" fontId="51" fillId="2" borderId="12" xfId="0" applyFont="1" applyFill="1" applyBorder="1" applyAlignment="1" applyProtection="1">
      <alignment horizontal="left" vertical="center"/>
      <protection locked="0"/>
    </xf>
    <xf numFmtId="0" fontId="0" fillId="0" borderId="13" xfId="0" applyBorder="1" applyAlignment="1" applyProtection="1">
      <alignment vertical="center"/>
      <protection locked="0"/>
    </xf>
    <xf numFmtId="0" fontId="40" fillId="2" borderId="12" xfId="0" applyFont="1" applyFill="1" applyBorder="1" applyAlignment="1" applyProtection="1">
      <alignment vertical="center"/>
      <protection locked="0"/>
    </xf>
    <xf numFmtId="0" fontId="0" fillId="2" borderId="14" xfId="0" applyFill="1" applyBorder="1" applyAlignment="1" applyProtection="1">
      <alignment vertical="center"/>
      <protection locked="0"/>
    </xf>
    <xf numFmtId="0" fontId="0" fillId="2" borderId="13" xfId="0" applyFill="1" applyBorder="1" applyAlignment="1" applyProtection="1">
      <alignment vertical="center"/>
      <protection locked="0"/>
    </xf>
    <xf numFmtId="0" fontId="1" fillId="24" borderId="0" xfId="0" applyFont="1" applyFill="1" applyBorder="1" applyAlignment="1">
      <alignment horizontal="center" vertical="center" shrinkToFit="1"/>
    </xf>
    <xf numFmtId="0" fontId="1" fillId="24" borderId="11" xfId="0" applyFont="1" applyFill="1" applyBorder="1" applyAlignment="1">
      <alignment horizontal="center" vertical="center" shrinkToFit="1"/>
    </xf>
    <xf numFmtId="0" fontId="51" fillId="2" borderId="82" xfId="0" applyFont="1" applyFill="1" applyBorder="1" applyAlignment="1" applyProtection="1">
      <alignment horizontal="left" vertical="top" wrapText="1"/>
      <protection locked="0"/>
    </xf>
    <xf numFmtId="0" fontId="51" fillId="2" borderId="77" xfId="0" applyFont="1" applyFill="1" applyBorder="1" applyAlignment="1" applyProtection="1">
      <alignment horizontal="left" vertical="top" wrapText="1"/>
      <protection locked="0"/>
    </xf>
    <xf numFmtId="0" fontId="51" fillId="2" borderId="83" xfId="0" applyFont="1" applyFill="1" applyBorder="1" applyAlignment="1" applyProtection="1">
      <alignment horizontal="left" vertical="top" wrapText="1"/>
      <protection locked="0"/>
    </xf>
    <xf numFmtId="0" fontId="51" fillId="2" borderId="8" xfId="0" applyFont="1" applyFill="1" applyBorder="1" applyAlignment="1" applyProtection="1">
      <alignment horizontal="left" vertical="top" wrapText="1"/>
      <protection locked="0"/>
    </xf>
    <xf numFmtId="0" fontId="51" fillId="2" borderId="9" xfId="0" applyFont="1" applyFill="1" applyBorder="1" applyAlignment="1" applyProtection="1">
      <alignment horizontal="left" vertical="top" wrapText="1"/>
      <protection locked="0"/>
    </xf>
    <xf numFmtId="0" fontId="51" fillId="2" borderId="10" xfId="0" applyFont="1" applyFill="1" applyBorder="1" applyAlignment="1" applyProtection="1">
      <alignment horizontal="left" vertical="top" wrapText="1"/>
      <protection locked="0"/>
    </xf>
    <xf numFmtId="0" fontId="51" fillId="2" borderId="69" xfId="0" applyFont="1" applyFill="1" applyBorder="1" applyAlignment="1" applyProtection="1">
      <alignment horizontal="left" vertical="center"/>
      <protection locked="0"/>
    </xf>
    <xf numFmtId="0" fontId="51" fillId="2" borderId="71" xfId="0" applyFont="1" applyFill="1" applyBorder="1" applyAlignment="1" applyProtection="1">
      <alignment horizontal="left" vertical="center"/>
      <protection locked="0"/>
    </xf>
    <xf numFmtId="49" fontId="51" fillId="2" borderId="12" xfId="0" applyNumberFormat="1" applyFont="1" applyFill="1" applyBorder="1" applyAlignment="1" applyProtection="1">
      <alignment horizontal="left" vertical="center"/>
      <protection locked="0"/>
    </xf>
    <xf numFmtId="49" fontId="51" fillId="2" borderId="13" xfId="0" applyNumberFormat="1" applyFont="1" applyFill="1" applyBorder="1" applyAlignment="1" applyProtection="1">
      <alignment horizontal="left" vertical="center"/>
      <protection locked="0"/>
    </xf>
    <xf numFmtId="0" fontId="51" fillId="2" borderId="13" xfId="0" applyFont="1" applyFill="1" applyBorder="1" applyAlignment="1" applyProtection="1">
      <alignment horizontal="left" vertical="center"/>
      <protection locked="0"/>
    </xf>
    <xf numFmtId="0" fontId="97" fillId="0" borderId="9" xfId="40" applyFont="1" applyBorder="1" applyAlignment="1">
      <alignment horizontal="right" vertical="center"/>
    </xf>
    <xf numFmtId="0" fontId="43" fillId="0" borderId="10" xfId="0" applyFont="1" applyBorder="1" applyAlignment="1">
      <alignment vertical="center"/>
    </xf>
    <xf numFmtId="0" fontId="5"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01" fillId="0" borderId="5" xfId="0" applyFont="1" applyBorder="1" applyAlignment="1" applyProtection="1">
      <alignment vertical="center" wrapText="1"/>
    </xf>
    <xf numFmtId="0" fontId="101" fillId="0" borderId="0" xfId="0" applyFont="1" applyAlignment="1" applyProtection="1">
      <alignment vertical="center" wrapText="1"/>
    </xf>
    <xf numFmtId="0" fontId="101" fillId="0" borderId="11" xfId="0" applyFont="1" applyBorder="1" applyAlignment="1" applyProtection="1">
      <alignment vertical="center" wrapText="1"/>
    </xf>
    <xf numFmtId="0" fontId="1" fillId="0" borderId="2" xfId="0" applyFont="1" applyBorder="1" applyAlignment="1">
      <alignment horizontal="right" vertical="center" wrapText="1"/>
    </xf>
    <xf numFmtId="0" fontId="0" fillId="0" borderId="2" xfId="0" applyBorder="1" applyAlignment="1">
      <alignment vertical="center" wrapText="1"/>
    </xf>
    <xf numFmtId="0" fontId="0" fillId="0" borderId="3" xfId="0" applyBorder="1" applyAlignment="1">
      <alignment vertical="center" wrapText="1"/>
    </xf>
    <xf numFmtId="0" fontId="43" fillId="0" borderId="5" xfId="0" applyFont="1" applyFill="1" applyBorder="1" applyAlignment="1">
      <alignment vertical="top" wrapText="1"/>
    </xf>
    <xf numFmtId="0" fontId="0" fillId="0" borderId="0" xfId="0" applyAlignment="1">
      <alignment wrapText="1"/>
    </xf>
    <xf numFmtId="0" fontId="0" fillId="0" borderId="11" xfId="0" applyBorder="1" applyAlignment="1">
      <alignment wrapText="1"/>
    </xf>
    <xf numFmtId="0" fontId="0" fillId="0" borderId="82" xfId="0" applyFont="1" applyBorder="1" applyAlignment="1">
      <alignment vertical="center" wrapText="1"/>
    </xf>
    <xf numFmtId="0" fontId="0" fillId="0" borderId="77" xfId="0" applyBorder="1" applyAlignment="1">
      <alignment vertical="center"/>
    </xf>
    <xf numFmtId="0" fontId="0" fillId="0" borderId="83" xfId="0" applyBorder="1" applyAlignment="1">
      <alignment vertical="center"/>
    </xf>
    <xf numFmtId="0" fontId="7" fillId="0" borderId="5" xfId="0" applyFont="1" applyBorder="1" applyAlignment="1">
      <alignment horizontal="left" wrapText="1"/>
    </xf>
    <xf numFmtId="0" fontId="7" fillId="0" borderId="11" xfId="0" applyFont="1" applyBorder="1" applyAlignment="1">
      <alignment horizontal="left" wrapText="1"/>
    </xf>
    <xf numFmtId="0" fontId="7" fillId="0" borderId="68" xfId="0" applyFont="1" applyBorder="1" applyAlignment="1">
      <alignment horizontal="left" wrapText="1"/>
    </xf>
    <xf numFmtId="0" fontId="7" fillId="0" borderId="81" xfId="0" applyFont="1" applyBorder="1" applyAlignment="1">
      <alignment horizontal="left" wrapText="1"/>
    </xf>
    <xf numFmtId="0" fontId="51" fillId="0" borderId="12" xfId="0" applyFont="1" applyFill="1" applyBorder="1" applyAlignment="1">
      <alignment horizontal="left"/>
    </xf>
    <xf numFmtId="0" fontId="51" fillId="0" borderId="13" xfId="0" applyFont="1" applyFill="1" applyBorder="1" applyAlignment="1">
      <alignment horizontal="left"/>
    </xf>
    <xf numFmtId="0" fontId="51" fillId="0" borderId="5" xfId="0" applyFont="1" applyFill="1" applyBorder="1" applyAlignment="1">
      <alignment horizontal="left" vertical="top" wrapText="1"/>
    </xf>
    <xf numFmtId="0" fontId="51" fillId="0" borderId="0" xfId="0" applyFont="1" applyFill="1" applyBorder="1" applyAlignment="1">
      <alignment horizontal="left" vertical="top" wrapText="1"/>
    </xf>
    <xf numFmtId="0" fontId="51" fillId="0" borderId="11" xfId="0" applyFont="1" applyFill="1" applyBorder="1" applyAlignment="1">
      <alignment horizontal="left" vertical="top" wrapText="1"/>
    </xf>
    <xf numFmtId="0" fontId="51" fillId="0" borderId="8" xfId="0" applyFont="1" applyFill="1" applyBorder="1" applyAlignment="1">
      <alignment horizontal="left" vertical="top" wrapText="1"/>
    </xf>
    <xf numFmtId="0" fontId="51" fillId="0" borderId="9" xfId="0" applyFont="1" applyFill="1" applyBorder="1" applyAlignment="1">
      <alignment horizontal="left" vertical="top" wrapText="1"/>
    </xf>
    <xf numFmtId="0" fontId="51" fillId="0" borderId="10" xfId="0" applyFont="1" applyFill="1" applyBorder="1" applyAlignment="1">
      <alignment horizontal="left" vertical="top" wrapText="1"/>
    </xf>
    <xf numFmtId="0" fontId="8" fillId="0" borderId="1"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left" vertical="top" wrapText="1"/>
    </xf>
    <xf numFmtId="0" fontId="8" fillId="0" borderId="11" xfId="0" applyFont="1" applyBorder="1" applyAlignment="1">
      <alignment horizontal="left" vertical="top" wrapText="1"/>
    </xf>
    <xf numFmtId="0" fontId="51" fillId="0" borderId="12" xfId="0" applyFont="1" applyFill="1" applyBorder="1" applyAlignment="1">
      <alignment horizontal="left" shrinkToFit="1"/>
    </xf>
    <xf numFmtId="0" fontId="51" fillId="0" borderId="13" xfId="0" applyFont="1" applyFill="1" applyBorder="1" applyAlignment="1">
      <alignment horizontal="left" shrinkToFit="1"/>
    </xf>
    <xf numFmtId="0" fontId="4" fillId="0" borderId="1" xfId="0" applyFont="1" applyBorder="1" applyAlignment="1">
      <alignment horizontal="left"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4" fillId="0" borderId="11" xfId="0" applyFont="1" applyBorder="1" applyAlignment="1">
      <alignment horizontal="left" wrapText="1"/>
    </xf>
    <xf numFmtId="0" fontId="4" fillId="0" borderId="1" xfId="0" applyFont="1" applyBorder="1" applyAlignment="1">
      <alignment horizontal="left" shrinkToFit="1"/>
    </xf>
    <xf numFmtId="0" fontId="0" fillId="0" borderId="2" xfId="0" applyBorder="1" applyAlignment="1">
      <alignment horizontal="left" shrinkToFit="1"/>
    </xf>
    <xf numFmtId="0" fontId="0" fillId="0" borderId="3" xfId="0" applyBorder="1" applyAlignment="1">
      <alignment horizontal="left" shrinkToFit="1"/>
    </xf>
    <xf numFmtId="0" fontId="4" fillId="0" borderId="5" xfId="0" applyFont="1" applyBorder="1" applyAlignment="1">
      <alignment horizontal="left" shrinkToFit="1"/>
    </xf>
    <xf numFmtId="0" fontId="0" fillId="0" borderId="0" xfId="0" applyBorder="1" applyAlignment="1">
      <alignment horizontal="left" shrinkToFit="1"/>
    </xf>
    <xf numFmtId="0" fontId="0" fillId="0" borderId="11" xfId="0" applyBorder="1" applyAlignment="1">
      <alignment horizontal="left" shrinkToFit="1"/>
    </xf>
    <xf numFmtId="0" fontId="4" fillId="0" borderId="12" xfId="0" applyFont="1" applyBorder="1" applyAlignment="1">
      <alignment horizontal="left" shrinkToFit="1"/>
    </xf>
    <xf numFmtId="0" fontId="0" fillId="0" borderId="14" xfId="0" applyBorder="1" applyAlignment="1">
      <alignment horizontal="left" shrinkToFit="1"/>
    </xf>
    <xf numFmtId="0" fontId="0" fillId="0" borderId="13" xfId="0" applyBorder="1" applyAlignment="1">
      <alignment horizontal="left" shrinkToFit="1"/>
    </xf>
    <xf numFmtId="0" fontId="102" fillId="0" borderId="8" xfId="40" applyFont="1" applyBorder="1" applyAlignment="1"/>
    <xf numFmtId="0" fontId="0" fillId="0" borderId="9" xfId="0" applyBorder="1" applyAlignment="1"/>
    <xf numFmtId="0" fontId="0" fillId="0" borderId="10" xfId="0" applyBorder="1" applyAlignment="1"/>
    <xf numFmtId="0" fontId="0" fillId="0" borderId="12" xfId="0"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51" fillId="0" borderId="82" xfId="0" applyFont="1" applyFill="1" applyBorder="1" applyAlignment="1">
      <alignment horizontal="left" vertical="top" wrapText="1"/>
    </xf>
    <xf numFmtId="0" fontId="51" fillId="0" borderId="77" xfId="0" applyFont="1" applyFill="1" applyBorder="1" applyAlignment="1">
      <alignment horizontal="left" vertical="top" wrapText="1"/>
    </xf>
    <xf numFmtId="0" fontId="51" fillId="0" borderId="83" xfId="0" applyFont="1" applyFill="1" applyBorder="1" applyAlignment="1">
      <alignment horizontal="left" vertical="top" wrapText="1"/>
    </xf>
    <xf numFmtId="0" fontId="63" fillId="0" borderId="14" xfId="0" applyFont="1" applyBorder="1" applyAlignment="1">
      <alignment horizontal="right" vertical="center" wrapText="1"/>
    </xf>
    <xf numFmtId="0" fontId="10" fillId="0" borderId="14" xfId="0" applyFont="1" applyBorder="1" applyAlignment="1">
      <alignment vertical="center" wrapText="1"/>
    </xf>
    <xf numFmtId="0" fontId="10" fillId="0" borderId="13" xfId="0" applyFont="1" applyBorder="1" applyAlignment="1">
      <alignment vertical="center" wrapText="1"/>
    </xf>
    <xf numFmtId="0" fontId="46" fillId="0" borderId="5" xfId="0" applyFont="1" applyBorder="1" applyAlignment="1">
      <alignment vertical="center" wrapText="1"/>
    </xf>
    <xf numFmtId="0" fontId="46" fillId="0" borderId="0" xfId="0" applyFont="1" applyAlignment="1">
      <alignment vertical="center" wrapText="1"/>
    </xf>
    <xf numFmtId="0" fontId="46" fillId="0" borderId="11" xfId="0" applyFont="1" applyBorder="1" applyAlignment="1">
      <alignment vertical="center" wrapText="1"/>
    </xf>
    <xf numFmtId="0" fontId="51" fillId="2" borderId="69" xfId="0" applyFont="1" applyFill="1" applyBorder="1" applyAlignment="1" applyProtection="1">
      <alignment vertical="center"/>
      <protection locked="0"/>
    </xf>
    <xf numFmtId="0" fontId="51" fillId="2" borderId="71" xfId="0" applyFont="1" applyFill="1" applyBorder="1" applyAlignment="1" applyProtection="1">
      <alignment vertical="center"/>
      <protection locked="0"/>
    </xf>
    <xf numFmtId="0" fontId="51" fillId="0" borderId="12" xfId="0" applyFont="1" applyFill="1" applyBorder="1" applyAlignment="1" applyProtection="1">
      <alignment horizontal="left" vertical="center"/>
      <protection locked="0"/>
    </xf>
    <xf numFmtId="0" fontId="51" fillId="0" borderId="13" xfId="0" applyFont="1" applyFill="1" applyBorder="1" applyAlignment="1" applyProtection="1">
      <alignment horizontal="left" vertical="center"/>
      <protection locked="0"/>
    </xf>
    <xf numFmtId="9" fontId="4" fillId="0" borderId="1" xfId="0" applyNumberFormat="1" applyFont="1" applyBorder="1" applyAlignment="1">
      <alignment horizontal="left" vertical="top" wrapText="1"/>
    </xf>
    <xf numFmtId="9" fontId="4" fillId="0" borderId="2" xfId="0" applyNumberFormat="1" applyFont="1" applyBorder="1" applyAlignment="1">
      <alignment horizontal="left" vertical="top" wrapText="1"/>
    </xf>
    <xf numFmtId="9" fontId="4" fillId="0" borderId="3" xfId="0" applyNumberFormat="1" applyFont="1" applyBorder="1" applyAlignment="1">
      <alignment horizontal="left" vertical="top" wrapText="1"/>
    </xf>
    <xf numFmtId="9" fontId="4" fillId="0" borderId="8" xfId="0" applyNumberFormat="1" applyFont="1" applyBorder="1" applyAlignment="1">
      <alignment horizontal="left" vertical="top" wrapText="1"/>
    </xf>
    <xf numFmtId="9" fontId="4" fillId="0" borderId="9" xfId="0" applyNumberFormat="1" applyFont="1" applyBorder="1" applyAlignment="1">
      <alignment horizontal="left" vertical="top" wrapText="1"/>
    </xf>
    <xf numFmtId="9" fontId="4" fillId="0" borderId="10" xfId="0" applyNumberFormat="1" applyFont="1" applyBorder="1" applyAlignment="1">
      <alignment horizontal="left" vertical="top" wrapText="1"/>
    </xf>
    <xf numFmtId="0" fontId="98" fillId="0" borderId="1" xfId="0" applyFont="1" applyBorder="1" applyAlignment="1">
      <alignment horizontal="right" vertical="top"/>
    </xf>
    <xf numFmtId="0" fontId="98" fillId="0" borderId="2" xfId="0" applyFont="1" applyBorder="1" applyAlignment="1">
      <alignment horizontal="right" vertical="top"/>
    </xf>
    <xf numFmtId="0" fontId="51" fillId="2" borderId="8" xfId="0" applyFont="1" applyFill="1" applyBorder="1" applyAlignment="1" applyProtection="1">
      <alignment horizontal="left"/>
      <protection locked="0"/>
    </xf>
    <xf numFmtId="0" fontId="51" fillId="2" borderId="10" xfId="0" applyFont="1" applyFill="1" applyBorder="1" applyAlignment="1" applyProtection="1">
      <alignment horizontal="left"/>
      <protection locked="0"/>
    </xf>
    <xf numFmtId="49" fontId="51" fillId="2" borderId="12" xfId="0" applyNumberFormat="1" applyFont="1" applyFill="1" applyBorder="1" applyAlignment="1" applyProtection="1">
      <alignment horizontal="left"/>
      <protection locked="0"/>
    </xf>
    <xf numFmtId="49" fontId="51" fillId="2" borderId="13" xfId="0" applyNumberFormat="1" applyFont="1" applyFill="1" applyBorder="1" applyAlignment="1" applyProtection="1">
      <alignment horizontal="left"/>
      <protection locked="0"/>
    </xf>
    <xf numFmtId="0" fontId="51" fillId="2" borderId="12" xfId="0" applyFont="1" applyFill="1" applyBorder="1" applyAlignment="1" applyProtection="1">
      <alignment horizontal="left"/>
      <protection locked="0"/>
    </xf>
    <xf numFmtId="0" fontId="51" fillId="2" borderId="13" xfId="0" applyFont="1" applyFill="1" applyBorder="1" applyAlignment="1" applyProtection="1">
      <alignment horizontal="left"/>
      <protection locked="0"/>
    </xf>
    <xf numFmtId="0" fontId="99" fillId="0" borderId="5" xfId="0" applyFont="1" applyFill="1" applyBorder="1" applyAlignment="1">
      <alignment horizontal="left" vertical="center" wrapText="1"/>
    </xf>
    <xf numFmtId="0" fontId="99" fillId="0" borderId="0" xfId="0" applyFont="1" applyFill="1" applyBorder="1" applyAlignment="1">
      <alignment horizontal="left" vertical="center" wrapText="1"/>
    </xf>
    <xf numFmtId="0" fontId="1" fillId="0" borderId="2" xfId="0" applyFont="1" applyBorder="1" applyAlignment="1">
      <alignment horizontal="right" wrapText="1"/>
    </xf>
    <xf numFmtId="0" fontId="0" fillId="0" borderId="2" xfId="0" applyBorder="1" applyAlignment="1">
      <alignment wrapText="1"/>
    </xf>
    <xf numFmtId="0" fontId="0" fillId="0" borderId="3" xfId="0" applyBorder="1" applyAlignment="1">
      <alignment wrapText="1"/>
    </xf>
    <xf numFmtId="0" fontId="0" fillId="0" borderId="2" xfId="0" applyBorder="1" applyAlignment="1">
      <alignment horizontal="right"/>
    </xf>
    <xf numFmtId="0" fontId="0" fillId="0" borderId="3" xfId="0" applyBorder="1" applyAlignment="1">
      <alignment horizontal="right"/>
    </xf>
    <xf numFmtId="0" fontId="0" fillId="0" borderId="0" xfId="0" applyBorder="1" applyAlignment="1">
      <alignment horizontal="right"/>
    </xf>
    <xf numFmtId="0" fontId="0" fillId="0" borderId="11" xfId="0" applyBorder="1" applyAlignment="1">
      <alignment horizontal="right"/>
    </xf>
    <xf numFmtId="0" fontId="4" fillId="0" borderId="1" xfId="0" applyFont="1" applyBorder="1" applyAlignment="1">
      <alignment horizontal="left" vertical="center" wrapText="1" readingOrder="1"/>
    </xf>
    <xf numFmtId="0" fontId="4" fillId="0" borderId="3" xfId="0" applyFont="1" applyBorder="1" applyAlignment="1">
      <alignment horizontal="left" vertical="center" wrapText="1" readingOrder="1"/>
    </xf>
    <xf numFmtId="0" fontId="4" fillId="0" borderId="5" xfId="0" applyFont="1" applyBorder="1" applyAlignment="1">
      <alignment horizontal="left" vertical="center" wrapText="1" readingOrder="1"/>
    </xf>
    <xf numFmtId="0" fontId="4" fillId="0" borderId="11" xfId="0" applyFont="1" applyBorder="1" applyAlignment="1">
      <alignment horizontal="left" vertical="center" wrapText="1" readingOrder="1"/>
    </xf>
    <xf numFmtId="0" fontId="4" fillId="0" borderId="1" xfId="0" applyFont="1" applyBorder="1" applyAlignment="1">
      <alignment vertical="center" shrinkToFit="1"/>
    </xf>
    <xf numFmtId="0" fontId="0" fillId="0" borderId="3" xfId="0" applyBorder="1" applyAlignment="1">
      <alignment vertical="center" shrinkToFit="1"/>
    </xf>
    <xf numFmtId="0" fontId="51" fillId="0" borderId="61" xfId="0" applyFont="1" applyFill="1" applyBorder="1" applyAlignment="1">
      <alignment horizontal="left" vertical="top" wrapText="1"/>
    </xf>
    <xf numFmtId="0" fontId="0" fillId="0" borderId="14" xfId="0" applyFont="1" applyFill="1" applyBorder="1" applyAlignment="1">
      <alignment horizontal="left" vertical="center" wrapText="1"/>
    </xf>
    <xf numFmtId="0" fontId="6" fillId="24" borderId="64" xfId="0" applyFont="1" applyFill="1" applyBorder="1" applyAlignment="1">
      <alignment horizontal="center" wrapText="1"/>
    </xf>
    <xf numFmtId="0" fontId="6" fillId="24" borderId="65" xfId="0" applyFont="1" applyFill="1" applyBorder="1" applyAlignment="1">
      <alignment horizontal="center" wrapText="1"/>
    </xf>
    <xf numFmtId="0" fontId="6" fillId="24" borderId="67" xfId="0" applyFont="1" applyFill="1" applyBorder="1" applyAlignment="1">
      <alignment horizontal="center" wrapText="1"/>
    </xf>
    <xf numFmtId="0" fontId="16" fillId="24" borderId="4" xfId="15" applyFont="1" applyFill="1" applyBorder="1" applyAlignment="1">
      <alignment horizontal="center"/>
    </xf>
    <xf numFmtId="0" fontId="16" fillId="24" borderId="21" xfId="15" applyFont="1" applyFill="1" applyBorder="1" applyAlignment="1">
      <alignment horizontal="center"/>
    </xf>
    <xf numFmtId="0" fontId="16" fillId="24" borderId="23" xfId="15" applyFont="1" applyFill="1" applyBorder="1" applyAlignment="1">
      <alignment horizontal="center"/>
    </xf>
    <xf numFmtId="0" fontId="16" fillId="19" borderId="7" xfId="15" applyFont="1" applyFill="1" applyBorder="1" applyAlignment="1">
      <alignment horizontal="center"/>
    </xf>
    <xf numFmtId="0" fontId="16" fillId="19" borderId="0" xfId="15" applyFont="1" applyFill="1" applyBorder="1" applyAlignment="1">
      <alignment horizontal="center"/>
    </xf>
    <xf numFmtId="0" fontId="16" fillId="0" borderId="21" xfId="15" applyFont="1" applyBorder="1" applyAlignment="1">
      <alignment horizontal="center"/>
    </xf>
    <xf numFmtId="0" fontId="16" fillId="0" borderId="22" xfId="15" applyFont="1" applyBorder="1" applyAlignment="1">
      <alignment horizontal="center"/>
    </xf>
    <xf numFmtId="0" fontId="16" fillId="0" borderId="23" xfId="15" applyFont="1" applyBorder="1" applyAlignment="1">
      <alignment horizontal="center"/>
    </xf>
    <xf numFmtId="0" fontId="16" fillId="8" borderId="7" xfId="15" applyFont="1" applyFill="1" applyBorder="1" applyAlignment="1">
      <alignment horizontal="center"/>
    </xf>
    <xf numFmtId="0" fontId="16" fillId="8" borderId="0" xfId="15" applyFont="1" applyFill="1" applyBorder="1" applyAlignment="1">
      <alignment horizontal="center"/>
    </xf>
    <xf numFmtId="0" fontId="16" fillId="20" borderId="7" xfId="15" applyFont="1" applyFill="1" applyBorder="1" applyAlignment="1">
      <alignment horizontal="center"/>
    </xf>
    <xf numFmtId="0" fontId="16" fillId="20" borderId="0" xfId="15" applyFont="1" applyFill="1" applyBorder="1" applyAlignment="1">
      <alignment horizontal="center"/>
    </xf>
    <xf numFmtId="0" fontId="16" fillId="21" borderId="7" xfId="15" applyFont="1" applyFill="1" applyBorder="1" applyAlignment="1">
      <alignment horizontal="center"/>
    </xf>
    <xf numFmtId="0" fontId="16" fillId="21" borderId="0" xfId="15" applyFont="1" applyFill="1" applyBorder="1" applyAlignment="1">
      <alignment horizontal="center"/>
    </xf>
    <xf numFmtId="0" fontId="16" fillId="29" borderId="7" xfId="15" applyFont="1" applyFill="1" applyBorder="1" applyAlignment="1">
      <alignment horizontal="center"/>
    </xf>
    <xf numFmtId="0" fontId="16" fillId="29" borderId="0" xfId="15" applyFont="1" applyFill="1" applyBorder="1" applyAlignment="1">
      <alignment horizontal="center"/>
    </xf>
    <xf numFmtId="0" fontId="16" fillId="6" borderId="7" xfId="15" applyFont="1" applyFill="1" applyBorder="1" applyAlignment="1">
      <alignment horizontal="center"/>
    </xf>
    <xf numFmtId="0" fontId="16" fillId="6" borderId="0" xfId="15" applyFont="1" applyFill="1" applyBorder="1" applyAlignment="1">
      <alignment horizontal="center"/>
    </xf>
    <xf numFmtId="0" fontId="21" fillId="0" borderId="43" xfId="15" applyFont="1" applyBorder="1" applyAlignment="1">
      <alignment horizontal="center"/>
    </xf>
    <xf numFmtId="0" fontId="21" fillId="0" borderId="44" xfId="15" applyFont="1" applyBorder="1" applyAlignment="1">
      <alignment horizontal="center"/>
    </xf>
    <xf numFmtId="0" fontId="48" fillId="0" borderId="45" xfId="15" applyFont="1" applyBorder="1" applyAlignment="1">
      <alignment horizontal="center"/>
    </xf>
    <xf numFmtId="0" fontId="48" fillId="0" borderId="46" xfId="15" applyFont="1" applyBorder="1" applyAlignment="1">
      <alignment horizontal="center"/>
    </xf>
    <xf numFmtId="0" fontId="48" fillId="0" borderId="47" xfId="15" applyFont="1" applyBorder="1" applyAlignment="1">
      <alignment horizontal="center"/>
    </xf>
    <xf numFmtId="0" fontId="16" fillId="22" borderId="7" xfId="15" applyFont="1" applyFill="1" applyBorder="1" applyAlignment="1">
      <alignment horizontal="center"/>
    </xf>
    <xf numFmtId="0" fontId="16" fillId="22" borderId="0" xfId="15" applyFont="1" applyFill="1" applyBorder="1" applyAlignment="1">
      <alignment horizontal="center"/>
    </xf>
    <xf numFmtId="0" fontId="0" fillId="0" borderId="12" xfId="0" applyFont="1" applyBorder="1" applyAlignment="1">
      <alignment horizontal="left"/>
    </xf>
    <xf numFmtId="0" fontId="0" fillId="0" borderId="14" xfId="0" applyFont="1" applyBorder="1" applyAlignment="1">
      <alignment horizontal="left"/>
    </xf>
    <xf numFmtId="0" fontId="0" fillId="0" borderId="13" xfId="0" applyFont="1" applyBorder="1" applyAlignment="1">
      <alignment horizontal="left"/>
    </xf>
    <xf numFmtId="0" fontId="28" fillId="24" borderId="58" xfId="15" applyFont="1" applyFill="1" applyBorder="1" applyAlignment="1">
      <alignment horizontal="center"/>
    </xf>
    <xf numFmtId="0" fontId="16" fillId="24" borderId="58" xfId="15" applyFont="1" applyFill="1" applyBorder="1" applyAlignment="1">
      <alignment horizontal="center"/>
    </xf>
    <xf numFmtId="0" fontId="28" fillId="24" borderId="6" xfId="15" applyFont="1" applyFill="1" applyBorder="1" applyAlignment="1">
      <alignment horizontal="center"/>
    </xf>
    <xf numFmtId="0" fontId="0" fillId="24" borderId="6" xfId="0" applyFont="1" applyFill="1" applyBorder="1" applyAlignment="1">
      <alignment horizontal="center"/>
    </xf>
    <xf numFmtId="0" fontId="0" fillId="24" borderId="58" xfId="0" applyFont="1" applyFill="1" applyBorder="1" applyAlignment="1">
      <alignment horizontal="center"/>
    </xf>
    <xf numFmtId="0" fontId="35" fillId="0" borderId="106" xfId="0" applyFont="1" applyFill="1" applyBorder="1" applyAlignment="1">
      <alignment horizontal="center" textRotation="90" wrapText="1"/>
    </xf>
    <xf numFmtId="0" fontId="35" fillId="0" borderId="100" xfId="0" applyFont="1" applyFill="1" applyBorder="1" applyAlignment="1">
      <alignment horizontal="center" wrapText="1"/>
    </xf>
    <xf numFmtId="0" fontId="35" fillId="0" borderId="98" xfId="0" applyFont="1" applyFill="1" applyBorder="1" applyAlignment="1">
      <alignment horizontal="center" wrapText="1"/>
    </xf>
    <xf numFmtId="0" fontId="6" fillId="0" borderId="6" xfId="0" applyFont="1" applyBorder="1" applyAlignment="1">
      <alignment horizontal="left" vertical="center" wrapText="1"/>
    </xf>
    <xf numFmtId="0" fontId="6" fillId="0" borderId="6"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35" fillId="0" borderId="79" xfId="0" applyFont="1" applyBorder="1" applyAlignment="1">
      <alignment horizontal="left" textRotation="90" wrapText="1"/>
    </xf>
    <xf numFmtId="0" fontId="35" fillId="0" borderId="78" xfId="0" applyFont="1" applyBorder="1" applyAlignment="1">
      <alignment horizontal="left" wrapText="1"/>
    </xf>
    <xf numFmtId="0" fontId="0" fillId="0" borderId="6" xfId="0" applyFont="1" applyBorder="1" applyAlignment="1">
      <alignment horizontal="left" vertical="center" wrapText="1"/>
    </xf>
    <xf numFmtId="0" fontId="0" fillId="0" borderId="12" xfId="0" applyFont="1" applyBorder="1" applyAlignment="1">
      <alignment wrapText="1"/>
    </xf>
    <xf numFmtId="0" fontId="0" fillId="0" borderId="14" xfId="0" applyFont="1" applyBorder="1" applyAlignment="1">
      <alignment wrapText="1"/>
    </xf>
    <xf numFmtId="0" fontId="0" fillId="0" borderId="13" xfId="0" applyFont="1" applyBorder="1" applyAlignment="1">
      <alignment wrapText="1"/>
    </xf>
    <xf numFmtId="0" fontId="1" fillId="0" borderId="6" xfId="0" applyFont="1" applyBorder="1" applyAlignment="1">
      <alignment horizontal="left" vertical="center" wrapText="1"/>
    </xf>
    <xf numFmtId="0" fontId="0" fillId="0" borderId="6" xfId="0" applyFont="1" applyBorder="1" applyAlignment="1">
      <alignment wrapText="1"/>
    </xf>
    <xf numFmtId="0" fontId="35" fillId="0" borderId="90" xfId="0" applyFont="1" applyFill="1" applyBorder="1" applyAlignment="1">
      <alignment horizontal="left" textRotation="90" wrapText="1"/>
    </xf>
    <xf numFmtId="0" fontId="35" fillId="0" borderId="92" xfId="0" applyFont="1" applyFill="1" applyBorder="1" applyAlignment="1">
      <alignment horizontal="left" wrapText="1"/>
    </xf>
    <xf numFmtId="0" fontId="53" fillId="0" borderId="6" xfId="0" applyFont="1" applyBorder="1" applyAlignment="1">
      <alignment horizontal="left" vertical="center" wrapText="1"/>
    </xf>
    <xf numFmtId="0" fontId="53" fillId="0" borderId="12" xfId="0" applyFont="1" applyFill="1" applyBorder="1" applyAlignment="1">
      <alignment horizontal="left" vertical="center" wrapText="1"/>
    </xf>
    <xf numFmtId="0" fontId="53" fillId="0" borderId="14"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45" fillId="0" borderId="71" xfId="0" applyFont="1" applyBorder="1" applyAlignment="1">
      <alignment horizontal="left" textRotation="90" wrapText="1"/>
    </xf>
    <xf numFmtId="0" fontId="45" fillId="0" borderId="13" xfId="0" applyFont="1" applyBorder="1" applyAlignment="1">
      <alignment horizontal="left" wrapText="1"/>
    </xf>
    <xf numFmtId="0" fontId="6" fillId="0" borderId="12"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66" xfId="0" applyFont="1" applyBorder="1" applyAlignment="1">
      <alignment horizontal="left" vertical="center" wrapText="1"/>
    </xf>
    <xf numFmtId="0" fontId="0" fillId="0" borderId="66" xfId="0" applyFont="1" applyBorder="1" applyAlignment="1">
      <alignment horizontal="left" vertical="center" wrapText="1"/>
    </xf>
    <xf numFmtId="0" fontId="6" fillId="0" borderId="6" xfId="0" applyFont="1" applyBorder="1" applyAlignment="1">
      <alignment vertical="center" wrapText="1"/>
    </xf>
  </cellXfs>
  <cellStyles count="48">
    <cellStyle name="gelb2St.rebü" xfId="1"/>
    <cellStyle name="gelb2St.rebü 2" xfId="45"/>
    <cellStyle name="grün" xfId="2"/>
    <cellStyle name="Heading" xfId="3"/>
    <cellStyle name="Heading1" xfId="4"/>
    <cellStyle name="Hyperlink" xfId="40" builtinId="8"/>
    <cellStyle name="Komma" xfId="42" builtinId="3"/>
    <cellStyle name="M_w_Z+%2_Sz_AS10_R_G" xfId="5"/>
    <cellStyle name="M_w_Z+0nr_Sz_AS10_R_G" xfId="6"/>
    <cellStyle name="M_w_Z+2nr_Sz_AS10_R_G" xfId="7"/>
    <cellStyle name="MatrixmitRahmen" xfId="8"/>
    <cellStyle name="MatrixmitRahmen 2" xfId="44"/>
    <cellStyle name="MatrixmitRahmeneinekommastelle" xfId="9"/>
    <cellStyle name="MatrixmitRahmeneinekommastelle 2" xfId="46"/>
    <cellStyle name="MatrixmRahmenohneKomma" xfId="10"/>
    <cellStyle name="MatrixmRahmenohneKomma 2" xfId="47"/>
    <cellStyle name="Prozent" xfId="41" builtinId="5"/>
    <cellStyle name="Result" xfId="11"/>
    <cellStyle name="Result2" xfId="12"/>
    <cellStyle name="schwarzeSchriftgrünerHigrund" xfId="13"/>
    <cellStyle name="schwarzeSchriftgrünerHigrund 2" xfId="14"/>
    <cellStyle name="Standard" xfId="0" builtinId="0"/>
    <cellStyle name="Standard 10" xfId="15"/>
    <cellStyle name="Standard 11" xfId="16"/>
    <cellStyle name="Standard 12" xfId="43"/>
    <cellStyle name="Standard 2" xfId="17"/>
    <cellStyle name="Standard 3" xfId="18"/>
    <cellStyle name="Standard 3 2" xfId="19"/>
    <cellStyle name="Standard 3 2 2" xfId="20"/>
    <cellStyle name="Standard 3 2 3" xfId="21"/>
    <cellStyle name="Standard 3 3" xfId="22"/>
    <cellStyle name="Standard 3 4" xfId="23"/>
    <cellStyle name="Standard 4" xfId="24"/>
    <cellStyle name="Standard 4 2" xfId="25"/>
    <cellStyle name="Standard 4 3" xfId="26"/>
    <cellStyle name="Standard 5" xfId="27"/>
    <cellStyle name="Standard 5 2" xfId="28"/>
    <cellStyle name="Standard 5 3" xfId="29"/>
    <cellStyle name="Standard 6" xfId="30"/>
    <cellStyle name="Standard 7" xfId="31"/>
    <cellStyle name="Standard 8" xfId="32"/>
    <cellStyle name="Standard 9" xfId="33"/>
    <cellStyle name="Standard_Gemarkung" xfId="34"/>
    <cellStyle name="Standard_Tab2_Lieferung_Boden_komplett" xfId="39"/>
    <cellStyle name="Standard_Tabelle1" xfId="35"/>
    <cellStyle name="Textrechtsbündig" xfId="36"/>
    <cellStyle name="weiss" xfId="37"/>
    <cellStyle name="ZeileSpalterot" xfId="38"/>
  </cellStyles>
  <dxfs count="69">
    <dxf>
      <font>
        <b/>
        <i val="0"/>
      </font>
      <fill>
        <patternFill>
          <bgColor theme="6" tint="0.39994506668294322"/>
        </patternFill>
      </fill>
      <border>
        <left style="hair">
          <color auto="1"/>
        </left>
        <right style="hair">
          <color auto="1"/>
        </right>
      </border>
    </dxf>
    <dxf>
      <font>
        <b/>
        <i val="0"/>
      </font>
      <fill>
        <patternFill>
          <bgColor theme="6" tint="0.39994506668294322"/>
        </patternFill>
      </fill>
      <border>
        <left style="hair">
          <color auto="1"/>
        </left>
        <right style="hair">
          <color auto="1"/>
        </right>
      </border>
    </dxf>
    <dxf>
      <fill>
        <patternFill>
          <bgColor theme="0"/>
        </patternFill>
      </fill>
    </dxf>
    <dxf>
      <fill>
        <patternFill>
          <bgColor theme="0"/>
        </patternFill>
      </fill>
    </dxf>
    <dxf>
      <fill>
        <patternFill patternType="lightUp"/>
      </fill>
    </dxf>
    <dxf>
      <font>
        <color theme="0"/>
      </font>
      <fill>
        <patternFill patternType="lightUp"/>
      </fill>
    </dxf>
    <dxf>
      <font>
        <color rgb="FFFFFFCC"/>
      </font>
    </dxf>
    <dxf>
      <font>
        <color auto="1"/>
      </font>
      <fill>
        <patternFill>
          <bgColor theme="1"/>
        </patternFill>
      </fill>
      <border>
        <left/>
        <right/>
        <top/>
        <bottom/>
        <vertical/>
        <horizontal/>
      </border>
    </dxf>
    <dxf>
      <font>
        <color auto="1"/>
      </font>
      <fill>
        <patternFill>
          <bgColor theme="1"/>
        </patternFill>
      </fill>
      <border>
        <left/>
        <right/>
        <top/>
        <bottom/>
        <vertical/>
        <horizontal/>
      </border>
    </dxf>
    <dxf>
      <font>
        <color theme="1"/>
      </font>
      <fill>
        <patternFill>
          <bgColor theme="1"/>
        </patternFill>
      </fill>
      <border>
        <left/>
        <right/>
        <top/>
        <bottom/>
        <vertical/>
        <horizontal/>
      </border>
    </dxf>
    <dxf>
      <font>
        <color theme="1"/>
      </font>
      <fill>
        <patternFill>
          <bgColor theme="1"/>
        </patternFill>
      </fill>
      <border>
        <left/>
        <right/>
        <top/>
        <bottom/>
        <vertical/>
        <horizontal/>
      </border>
    </dxf>
    <dxf>
      <font>
        <color theme="1"/>
      </font>
      <fill>
        <patternFill>
          <bgColor theme="1"/>
        </patternFill>
      </fill>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b/>
        <i val="0"/>
      </font>
      <fill>
        <patternFill>
          <bgColor theme="6" tint="0.39994506668294322"/>
        </patternFill>
      </fill>
      <border>
        <left style="hair">
          <color auto="1"/>
        </left>
        <right style="hair">
          <color auto="1"/>
        </right>
      </border>
    </dxf>
    <dxf>
      <font>
        <b/>
        <i val="0"/>
      </font>
      <fill>
        <patternFill>
          <bgColor theme="6" tint="0.39994506668294322"/>
        </patternFill>
      </fill>
      <border>
        <left style="hair">
          <color auto="1"/>
        </left>
        <right style="hair">
          <color auto="1"/>
        </right>
      </border>
    </dxf>
    <dxf>
      <fill>
        <patternFill>
          <bgColor theme="0"/>
        </patternFill>
      </fill>
    </dxf>
    <dxf>
      <fill>
        <patternFill>
          <bgColor theme="0"/>
        </patternFill>
      </fill>
    </dxf>
    <dxf>
      <font>
        <color rgb="FFFFFFCC"/>
      </font>
    </dxf>
    <dxf>
      <font>
        <color auto="1"/>
      </font>
      <fill>
        <patternFill>
          <bgColor theme="1"/>
        </patternFill>
      </fill>
      <border>
        <left/>
        <right/>
        <top/>
        <bottom/>
        <vertical/>
        <horizontal/>
      </border>
    </dxf>
    <dxf>
      <font>
        <color auto="1"/>
      </font>
      <fill>
        <patternFill>
          <bgColor theme="1"/>
        </patternFill>
      </fill>
      <border>
        <left/>
        <right/>
        <top/>
        <bottom/>
        <vertical/>
        <horizontal/>
      </border>
    </dxf>
    <dxf>
      <font>
        <color theme="1"/>
      </font>
      <fill>
        <patternFill>
          <bgColor theme="1"/>
        </patternFill>
      </fill>
      <border>
        <left/>
        <right/>
        <top/>
        <bottom/>
        <vertical/>
        <horizontal/>
      </border>
    </dxf>
    <dxf>
      <font>
        <color auto="1"/>
      </font>
      <fill>
        <patternFill>
          <bgColor theme="1"/>
        </patternFill>
      </fill>
      <border>
        <left/>
        <right/>
        <top/>
        <bottom/>
        <vertical/>
        <horizontal/>
      </border>
    </dxf>
    <dxf>
      <font>
        <color auto="1"/>
      </font>
      <fill>
        <patternFill>
          <bgColor theme="1"/>
        </patternFill>
      </fill>
      <border>
        <left/>
        <right/>
        <top/>
        <bottom/>
        <vertical/>
        <horizontal/>
      </border>
    </dxf>
    <dxf>
      <font>
        <color theme="1"/>
      </font>
      <fill>
        <patternFill>
          <bgColor theme="1"/>
        </patternFill>
      </fill>
      <border>
        <left/>
        <right/>
        <top/>
        <bottom/>
        <vertical/>
        <horizontal/>
      </border>
    </dxf>
    <dxf>
      <font>
        <color theme="1"/>
      </font>
      <fill>
        <patternFill>
          <bgColor theme="1"/>
        </patternFill>
      </fill>
      <border>
        <left/>
        <right/>
        <top/>
        <bottom/>
        <vertical/>
        <horizontal/>
      </border>
    </dxf>
    <dxf>
      <font>
        <color theme="1"/>
      </font>
      <fill>
        <patternFill>
          <bgColor theme="1"/>
        </patternFill>
      </fill>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ill>
        <patternFill>
          <bgColor rgb="FFFFFFCC"/>
        </patternFill>
      </fill>
    </dxf>
    <dxf>
      <font>
        <color theme="0"/>
      </font>
    </dxf>
    <dxf>
      <fill>
        <patternFill>
          <bgColor rgb="FFFFFFCC"/>
        </patternFill>
      </fill>
    </dxf>
    <dxf>
      <font>
        <color theme="0"/>
      </font>
    </dxf>
    <dxf>
      <fill>
        <patternFill>
          <bgColor rgb="FFFFFFCC"/>
        </patternFill>
      </fill>
    </dxf>
    <dxf>
      <font>
        <color theme="0"/>
      </font>
    </dxf>
    <dxf>
      <font>
        <color theme="0"/>
      </font>
    </dxf>
    <dxf>
      <fill>
        <patternFill>
          <bgColor rgb="FFFFFFCC"/>
        </patternFill>
      </fill>
    </dxf>
    <dxf>
      <font>
        <color theme="0"/>
      </font>
    </dxf>
    <dxf>
      <fill>
        <patternFill>
          <bgColor rgb="FFFFFFCC"/>
        </patternFill>
      </fill>
    </dxf>
    <dxf>
      <font>
        <color theme="0"/>
      </font>
    </dxf>
    <dxf>
      <fill>
        <patternFill>
          <bgColor rgb="FFFFFFCC"/>
        </patternFill>
      </fill>
    </dxf>
    <dxf>
      <font>
        <b/>
        <i val="0"/>
      </font>
      <fill>
        <patternFill>
          <bgColor theme="6" tint="0.39994506668294322"/>
        </patternFill>
      </fill>
      <border>
        <left style="hair">
          <color auto="1"/>
        </left>
        <right style="hair">
          <color auto="1"/>
        </right>
      </border>
    </dxf>
    <dxf>
      <font>
        <b/>
        <i val="0"/>
      </font>
      <fill>
        <patternFill>
          <bgColor theme="6" tint="0.39994506668294322"/>
        </patternFill>
      </fill>
      <border>
        <left style="hair">
          <color auto="1"/>
        </left>
        <right style="hair">
          <color auto="1"/>
        </right>
      </border>
    </dxf>
    <dxf>
      <fill>
        <patternFill>
          <bgColor theme="0"/>
        </patternFill>
      </fill>
    </dxf>
    <dxf>
      <fill>
        <patternFill>
          <bgColor theme="0"/>
        </patternFill>
      </fill>
    </dxf>
    <dxf>
      <font>
        <color theme="0"/>
      </font>
      <fill>
        <patternFill patternType="solid"/>
      </fill>
      <border>
        <left style="hair">
          <color theme="0"/>
        </left>
        <right style="hair">
          <color auto="1"/>
        </right>
        <top style="hair">
          <color theme="0"/>
        </top>
        <bottom style="hair">
          <color theme="0"/>
        </bottom>
        <vertical/>
        <horizontal/>
      </border>
    </dxf>
    <dxf>
      <font>
        <color theme="0"/>
      </font>
      <fill>
        <patternFill patternType="solid">
          <bgColor auto="1"/>
        </patternFill>
      </fill>
      <border>
        <left/>
        <right/>
        <top/>
        <bottom/>
        <vertical/>
        <horizontal/>
      </border>
    </dxf>
    <dxf>
      <font>
        <color rgb="FFFFFFCC"/>
      </font>
    </dxf>
    <dxf>
      <font>
        <color auto="1"/>
      </font>
      <fill>
        <patternFill>
          <bgColor theme="1"/>
        </patternFill>
      </fill>
      <border>
        <left/>
        <right/>
        <top/>
        <bottom/>
        <vertical/>
        <horizontal/>
      </border>
    </dxf>
    <dxf>
      <font>
        <color theme="1"/>
      </font>
      <fill>
        <patternFill>
          <bgColor theme="1"/>
        </patternFill>
      </fill>
      <border>
        <left/>
        <right/>
        <top/>
        <bottom/>
        <vertical/>
        <horizontal/>
      </border>
    </dxf>
    <dxf>
      <font>
        <color auto="1"/>
      </font>
      <fill>
        <patternFill>
          <bgColor theme="1"/>
        </patternFill>
      </fill>
      <border>
        <left/>
        <right/>
        <top/>
        <bottom/>
        <vertical/>
        <horizontal/>
      </border>
    </dxf>
    <dxf>
      <font>
        <color auto="1"/>
      </font>
      <fill>
        <patternFill>
          <bgColor theme="1"/>
        </patternFill>
      </fill>
      <border>
        <left/>
        <right/>
        <top/>
        <bottom/>
        <vertical/>
        <horizontal/>
      </border>
    </dxf>
    <dxf>
      <font>
        <color auto="1"/>
      </font>
      <fill>
        <patternFill>
          <bgColor theme="1"/>
        </patternFill>
      </fill>
      <border>
        <left/>
        <right/>
        <top/>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color theme="0"/>
      </font>
    </dxf>
    <dxf>
      <fill>
        <patternFill>
          <bgColor rgb="FFFFFFCC"/>
        </patternFill>
      </fill>
    </dxf>
    <dxf>
      <font>
        <color theme="0"/>
      </font>
    </dxf>
    <dxf>
      <fill>
        <patternFill>
          <bgColor rgb="FFFFFFCC"/>
        </patternFill>
      </fill>
    </dxf>
    <dxf>
      <fill>
        <patternFill>
          <bgColor rgb="FFFFFFCC"/>
        </patternFill>
      </fill>
    </dxf>
    <dxf>
      <font>
        <color theme="0"/>
      </font>
    </dxf>
    <dxf>
      <font>
        <color auto="1"/>
      </font>
      <fill>
        <patternFill>
          <bgColor rgb="FFFFFFCC"/>
        </patternFill>
      </fill>
    </dxf>
    <dxf>
      <font>
        <color auto="1"/>
      </font>
      <fill>
        <patternFill>
          <bgColor theme="1"/>
        </patternFill>
      </fill>
      <border>
        <left/>
        <right/>
        <top/>
        <bottom/>
        <vertical/>
        <horizontal/>
      </border>
    </dxf>
  </dxfs>
  <tableStyles count="0" defaultTableStyle="TableStyleMedium2" defaultPivotStyle="PivotStyleLight16"/>
  <colors>
    <mruColors>
      <color rgb="FFFFFFCC"/>
      <color rgb="FF0000FF"/>
      <color rgb="FFFFB8A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trlProps/ctrlProp1.xml><?xml version="1.0" encoding="utf-8"?>
<formControlPr xmlns="http://schemas.microsoft.com/office/spreadsheetml/2009/9/main" objectType="Drop" dropStyle="combo" dx="17" fmlaLink="$M$21" fmlaRange="Kulturen!$F$12:$F$77" noThreeD="1" val="0"/>
</file>

<file path=xl/ctrlProps/ctrlProp10.xml><?xml version="1.0" encoding="utf-8"?>
<formControlPr xmlns="http://schemas.microsoft.com/office/spreadsheetml/2009/9/main" objectType="Drop" dropStyle="combo" dx="17" fmlaLink="$M$56" fmlaRange="Due_org!$D$70:$D$73" noThreeD="1" sel="4" val="0"/>
</file>

<file path=xl/ctrlProps/ctrlProp11.xml><?xml version="1.0" encoding="utf-8"?>
<formControlPr xmlns="http://schemas.microsoft.com/office/spreadsheetml/2009/9/main" objectType="Drop" dropStyle="combo" dx="17" fmlaLink="$M$23" fmlaRange="Kulturen!$H$412:$H$413" noThreeD="1" val="0"/>
</file>

<file path=xl/ctrlProps/ctrlProp12.xml><?xml version="1.0" encoding="utf-8"?>
<formControlPr xmlns="http://schemas.microsoft.com/office/spreadsheetml/2009/9/main" objectType="Drop" dropStyle="combo" dx="17" fmlaLink="$M$61" fmlaRange="Zwfru!$C$22:$C$31" noThreeD="1" sel="2" val="2"/>
</file>

<file path=xl/ctrlProps/ctrlProp13.xml><?xml version="1.0" encoding="utf-8"?>
<formControlPr xmlns="http://schemas.microsoft.com/office/spreadsheetml/2009/9/main" objectType="Drop" dropStyle="combo" dx="17" fmlaLink="$M$62" fmlaRange="Vorfruechte!$E$140:$E$141" noThreeD="1" sel="2" val="0"/>
</file>

<file path=xl/ctrlProps/ctrlProp14.xml><?xml version="1.0" encoding="utf-8"?>
<formControlPr xmlns="http://schemas.microsoft.com/office/spreadsheetml/2009/9/main" objectType="Drop" dropStyle="combo" dx="17" fmlaLink="$M$64" fmlaRange="Due_org!$U$16:$U$17" noThreeD="1" val="0"/>
</file>

<file path=xl/ctrlProps/ctrlProp15.xml><?xml version="1.0" encoding="utf-8"?>
<formControlPr xmlns="http://schemas.microsoft.com/office/spreadsheetml/2009/9/main" objectType="Drop" dropStyle="combo" dx="17" fmlaLink="$M$21" fmlaRange="Kulturen!$F$95:$F$109" noThreeD="1" val="0"/>
</file>

<file path=xl/ctrlProps/ctrlProp16.xml><?xml version="1.0" encoding="utf-8"?>
<formControlPr xmlns="http://schemas.microsoft.com/office/spreadsheetml/2009/9/main" objectType="Drop" dropStyle="combo" dx="17" fmlaLink="$M$43" fmlaRange="GL_Bodenvorrat!$C$11:$C$17" noThreeD="1" val="0"/>
</file>

<file path=xl/ctrlProps/ctrlProp17.xml><?xml version="1.0" encoding="utf-8"?>
<formControlPr xmlns="http://schemas.microsoft.com/office/spreadsheetml/2009/9/main" objectType="Drop" dropStyle="combo" dx="17" fmlaLink="$M$52" fmlaRange="Due_org!$D$12:$D$72" noThreeD="1" val="0"/>
</file>

<file path=xl/ctrlProps/ctrlProp18.xml><?xml version="1.0" encoding="utf-8"?>
<formControlPr xmlns="http://schemas.microsoft.com/office/spreadsheetml/2009/9/main" objectType="Drop" dropStyle="combo" dx="17" fmlaLink="$M$22" fmlaRange="Nachlieferung_Leg" noThreeD="1" val="0"/>
</file>

<file path=xl/ctrlProps/ctrlProp19.xml><?xml version="1.0" encoding="utf-8"?>
<formControlPr xmlns="http://schemas.microsoft.com/office/spreadsheetml/2009/9/main" objectType="Drop" dropStyle="combo" dx="17" fmlaLink="$M$48" fmlaRange="Bodenarten!$C$11:$C$17" noThreeD="1" sel="4" val="0"/>
</file>

<file path=xl/ctrlProps/ctrlProp2.xml><?xml version="1.0" encoding="utf-8"?>
<formControlPr xmlns="http://schemas.microsoft.com/office/spreadsheetml/2009/9/main" objectType="Drop" dropStyle="combo" dx="17" fmlaLink="$M$60" fmlaRange="Vorfruechte!$D$23:$D$121" noThreeD="1" val="0"/>
</file>

<file path=xl/ctrlProps/ctrlProp20.xml><?xml version="1.0" encoding="utf-8"?>
<formControlPr xmlns="http://schemas.microsoft.com/office/spreadsheetml/2009/9/main" objectType="Drop" dropStyle="combo" dx="17" fmlaLink="$M$54" fmlaRange="Due_org!$D$12:$D$72" noThreeD="1" val="0"/>
</file>

<file path=xl/ctrlProps/ctrlProp21.xml><?xml version="1.0" encoding="utf-8"?>
<formControlPr xmlns="http://schemas.microsoft.com/office/spreadsheetml/2009/9/main" objectType="Drop" dropStyle="combo" dx="17" fmlaLink="$M$46" fmlaRange="AB_Kalk!$U$31:$U$79" noThreeD="1" sel="31" val="30"/>
</file>

<file path=xl/ctrlProps/ctrlProp22.xml><?xml version="1.0" encoding="utf-8"?>
<formControlPr xmlns="http://schemas.microsoft.com/office/spreadsheetml/2009/9/main" objectType="Drop" dropStyle="combo" dx="17" fmlaLink="$M$22" fmlaRange="Kulturen!$F$78:$F$93" noThreeD="1" val="0"/>
</file>

<file path=xl/ctrlProps/ctrlProp23.xml><?xml version="1.0" encoding="utf-8"?>
<formControlPr xmlns="http://schemas.microsoft.com/office/spreadsheetml/2009/9/main" objectType="Drop" dropStyle="combo" dx="17" fmlaLink="$M$53" fmlaRange="Vorfruechte!$D$23:$D$121" noThreeD="1" val="0"/>
</file>

<file path=xl/ctrlProps/ctrlProp24.xml><?xml version="1.0" encoding="utf-8"?>
<formControlPr xmlns="http://schemas.microsoft.com/office/spreadsheetml/2009/9/main" objectType="Drop" dropStyle="combo" dx="17" fmlaLink="$M$55" fmlaRange="Vorfruechte!$E$140:$E$141" noThreeD="1" val="0"/>
</file>

<file path=xl/ctrlProps/ctrlProp25.xml><?xml version="1.0" encoding="utf-8"?>
<formControlPr xmlns="http://schemas.microsoft.com/office/spreadsheetml/2009/9/main" objectType="Drop" dropStyle="combo" dx="17" fmlaLink="$M$41" fmlaRange="Due_org!$D$12:$D$72" noThreeD="1" val="0"/>
</file>

<file path=xl/ctrlProps/ctrlProp26.xml><?xml version="1.0" encoding="utf-8"?>
<formControlPr xmlns="http://schemas.microsoft.com/office/spreadsheetml/2009/9/main" objectType="Drop" dropStyle="combo" dx="17" fmlaLink="$M$33" fmlaRange="Bodenarten!$C$11:$C$17" noThreeD="1" sel="4" val="0"/>
</file>

<file path=xl/ctrlProps/ctrlProp27.xml><?xml version="1.0" encoding="utf-8"?>
<formControlPr xmlns="http://schemas.microsoft.com/office/spreadsheetml/2009/9/main" objectType="Drop" dropStyle="combo" dx="17" fmlaLink="$M$45" fmlaRange="Due_org!$D$12:$D$69" noThreeD="1" val="0"/>
</file>

<file path=xl/ctrlProps/ctrlProp28.xml><?xml version="1.0" encoding="utf-8"?>
<formControlPr xmlns="http://schemas.microsoft.com/office/spreadsheetml/2009/9/main" objectType="Drop" dropStyle="combo" dx="17" fmlaLink="$M$60" fmlaRange="Kulturen!$F$602:$F$603" noThreeD="1" val="0"/>
</file>

<file path=xl/ctrlProps/ctrlProp29.xml><?xml version="1.0" encoding="utf-8"?>
<formControlPr xmlns="http://schemas.microsoft.com/office/spreadsheetml/2009/9/main" objectType="Drop" dropStyle="combo" dx="17" fmlaLink="$M$61" fmlaRange="Kulturen!$F$610:$F$611" noThreeD="1" val="0"/>
</file>

<file path=xl/ctrlProps/ctrlProp3.xml><?xml version="1.0" encoding="utf-8"?>
<formControlPr xmlns="http://schemas.microsoft.com/office/spreadsheetml/2009/9/main" objectType="Drop" dropStyle="combo" dx="17" fmlaLink="$M$49" fmlaRange="Due_org!$D$12:$D$72" noThreeD="1" val="0"/>
</file>

<file path=xl/ctrlProps/ctrlProp30.xml><?xml version="1.0" encoding="utf-8"?>
<formControlPr xmlns="http://schemas.microsoft.com/office/spreadsheetml/2009/9/main" objectType="Drop" dropStyle="combo" dx="17" fmlaLink="$M$63" fmlaRange="Kulturen!$F$626:$F$627" noThreeD="1" val="0"/>
</file>

<file path=xl/ctrlProps/ctrlProp31.xml><?xml version="1.0" encoding="utf-8"?>
<formControlPr xmlns="http://schemas.microsoft.com/office/spreadsheetml/2009/9/main" objectType="Drop" dropStyle="combo" dx="17" fmlaLink="$M$36" fmlaRange="AB_Kalk!$U$31:$U$79" noThreeD="1" sel="31" val="28"/>
</file>

<file path=xl/ctrlProps/ctrlProp32.xml><?xml version="1.0" encoding="utf-8"?>
<formControlPr xmlns="http://schemas.microsoft.com/office/spreadsheetml/2009/9/main" objectType="Drop" dropStyle="combo" dx="17" fmlaLink="$M$49" fmlaRange="Due_org!$D$70:$D$73" noThreeD="1" sel="4" val="0"/>
</file>

<file path=xl/ctrlProps/ctrlProp33.xml><?xml version="1.0" encoding="utf-8"?>
<formControlPr xmlns="http://schemas.microsoft.com/office/spreadsheetml/2009/9/main" objectType="Drop" dropStyle="combo" dx="17" fmlaLink="$M$56" fmlaRange="Zwfru!$C$22:$C$31" noThreeD="1" val="0"/>
</file>

<file path=xl/ctrlProps/ctrlProp4.xml><?xml version="1.0" encoding="utf-8"?>
<formControlPr xmlns="http://schemas.microsoft.com/office/spreadsheetml/2009/9/main" objectType="Drop" dropStyle="combo" dx="17" fmlaLink="$M$40" fmlaRange="Bodenarten!$C$11:$C$17" noThreeD="1" sel="4" val="0"/>
</file>

<file path=xl/ctrlProps/ctrlProp5.xml><?xml version="1.0" encoding="utf-8"?>
<formControlPr xmlns="http://schemas.microsoft.com/office/spreadsheetml/2009/9/main" objectType="Drop" dropStyle="combo" dx="17" fmlaLink="$M$41" fmlaRange="Ackerzahl!$F$83:$F$85" noThreeD="1" sel="2" val="0"/>
</file>

<file path=xl/ctrlProps/ctrlProp6.xml><?xml version="1.0" encoding="utf-8"?>
<formControlPr xmlns="http://schemas.microsoft.com/office/spreadsheetml/2009/9/main" objectType="Drop" dropStyle="combo" dx="17" fmlaLink="$M$52" fmlaRange="Due_org!$D$12:$D$69" noThreeD="1" val="0"/>
</file>

<file path=xl/ctrlProps/ctrlProp7.xml><?xml version="1.0" encoding="utf-8"?>
<formControlPr xmlns="http://schemas.microsoft.com/office/spreadsheetml/2009/9/main" objectType="Drop" dropStyle="combo" dx="17" fmlaLink="$M$68" fmlaRange="Mais_Boden!$D$38:$D$39" noThreeD="1" sel="2" val="0"/>
</file>

<file path=xl/ctrlProps/ctrlProp8.xml><?xml version="1.0" encoding="utf-8"?>
<formControlPr xmlns="http://schemas.microsoft.com/office/spreadsheetml/2009/9/main" objectType="Drop" dropStyle="combo" dx="17" fmlaLink="$M$72" fmlaRange="Due_org!$D$12:$D$50" noThreeD="1" val="0"/>
</file>

<file path=xl/ctrlProps/ctrlProp9.xml><?xml version="1.0" encoding="utf-8"?>
<formControlPr xmlns="http://schemas.microsoft.com/office/spreadsheetml/2009/9/main" objectType="Drop" dropStyle="combo" dx="17" fmlaLink="$M$42" fmlaRange="AB_Kalk!$U$31:$U$79" noThreeD="1" sel="31" val="30"/>
</file>

<file path=xl/drawings/_rels/drawing1.xml.rels><?xml version="1.0" encoding="UTF-8" standalone="yes"?>
<Relationships xmlns="http://schemas.openxmlformats.org/package/2006/relationships"><Relationship Id="rId3" Type="http://schemas.openxmlformats.org/officeDocument/2006/relationships/hyperlink" Target="#OR_Eingabe!A1"/><Relationship Id="rId2" Type="http://schemas.openxmlformats.org/officeDocument/2006/relationships/hyperlink" Target="#GL_Eingabe!A1"/><Relationship Id="rId1" Type="http://schemas.openxmlformats.org/officeDocument/2006/relationships/hyperlink" Target="#AB_Eingabe!A1"/><Relationship Id="rId4" Type="http://schemas.openxmlformats.org/officeDocument/2006/relationships/hyperlink" Target="#Hinweise!A1"/></Relationships>
</file>

<file path=xl/drawings/_rels/drawing10.xml.rels><?xml version="1.0" encoding="UTF-8" standalone="yes"?>
<Relationships xmlns="http://schemas.openxmlformats.org/package/2006/relationships"><Relationship Id="rId3" Type="http://schemas.openxmlformats.org/officeDocument/2006/relationships/hyperlink" Target="#Hinweise!A114"/><Relationship Id="rId7" Type="http://schemas.openxmlformats.org/officeDocument/2006/relationships/hyperlink" Target="#Hinweise!A76"/><Relationship Id="rId2" Type="http://schemas.openxmlformats.org/officeDocument/2006/relationships/hyperlink" Target="#Startmenue!A1"/><Relationship Id="rId1" Type="http://schemas.openxmlformats.org/officeDocument/2006/relationships/hyperlink" Target="#OR_Eingabe!A1"/><Relationship Id="rId6" Type="http://schemas.openxmlformats.org/officeDocument/2006/relationships/hyperlink" Target="#Hinweise!A141"/><Relationship Id="rId5" Type="http://schemas.openxmlformats.org/officeDocument/2006/relationships/hyperlink" Target="#Hinweise!A131"/><Relationship Id="rId4" Type="http://schemas.openxmlformats.org/officeDocument/2006/relationships/hyperlink" Target="#Hinweise!A140"/></Relationships>
</file>

<file path=xl/drawings/_rels/drawing11.xml.rels><?xml version="1.0" encoding="UTF-8" standalone="yes"?>
<Relationships xmlns="http://schemas.openxmlformats.org/package/2006/relationships"><Relationship Id="rId2" Type="http://schemas.openxmlformats.org/officeDocument/2006/relationships/hyperlink" Target="#Startmenue!A1"/><Relationship Id="rId1" Type="http://schemas.openxmlformats.org/officeDocument/2006/relationships/hyperlink" Target="#OR_Eingabe!A1"/></Relationships>
</file>

<file path=xl/drawings/_rels/drawing12.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13.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14.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15.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16.xml.rels><?xml version="1.0" encoding="UTF-8" standalone="yes"?>
<Relationships xmlns="http://schemas.openxmlformats.org/package/2006/relationships"><Relationship Id="rId3" Type="http://schemas.openxmlformats.org/officeDocument/2006/relationships/hyperlink" Target="#GL_Eingabe!A1"/><Relationship Id="rId2" Type="http://schemas.openxmlformats.org/officeDocument/2006/relationships/hyperlink" Target="#AB_Eingabe!A1"/><Relationship Id="rId1" Type="http://schemas.openxmlformats.org/officeDocument/2006/relationships/hyperlink" Target="#Startmenue!A1"/><Relationship Id="rId4" Type="http://schemas.openxmlformats.org/officeDocument/2006/relationships/hyperlink" Target="#OR_Eingabe!A1"/></Relationships>
</file>

<file path=xl/drawings/_rels/drawing17.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18.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19.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2.xml.rels><?xml version="1.0" encoding="UTF-8" standalone="yes"?>
<Relationships xmlns="http://schemas.openxmlformats.org/package/2006/relationships"><Relationship Id="rId8" Type="http://schemas.openxmlformats.org/officeDocument/2006/relationships/hyperlink" Target="#Gemarkungen!A1"/><Relationship Id="rId3" Type="http://schemas.openxmlformats.org/officeDocument/2006/relationships/hyperlink" Target="#OR_Eingabe!A1"/><Relationship Id="rId7" Type="http://schemas.openxmlformats.org/officeDocument/2006/relationships/hyperlink" Target="#OR_Ergebnis!A1"/><Relationship Id="rId2" Type="http://schemas.openxmlformats.org/officeDocument/2006/relationships/hyperlink" Target="#GL_Eingabe!A1"/><Relationship Id="rId1" Type="http://schemas.openxmlformats.org/officeDocument/2006/relationships/hyperlink" Target="#AB_Eingabe!A1"/><Relationship Id="rId6" Type="http://schemas.openxmlformats.org/officeDocument/2006/relationships/hyperlink" Target="#GL_Ergebnis!A1"/><Relationship Id="rId5" Type="http://schemas.openxmlformats.org/officeDocument/2006/relationships/hyperlink" Target="#AB_Ergebnis!A1"/><Relationship Id="rId4" Type="http://schemas.openxmlformats.org/officeDocument/2006/relationships/hyperlink" Target="#Startmenue!A1"/><Relationship Id="rId9" Type="http://schemas.openxmlformats.org/officeDocument/2006/relationships/hyperlink" Target="#Due_org!A1"/></Relationships>
</file>

<file path=xl/drawings/_rels/drawing20.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21.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22.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23.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2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hyperlink" Target="#Startmenue!A1"/><Relationship Id="rId5" Type="http://schemas.openxmlformats.org/officeDocument/2006/relationships/image" Target="../media/image5.emf"/><Relationship Id="rId4" Type="http://schemas.openxmlformats.org/officeDocument/2006/relationships/image" Target="../media/image4.emf"/></Relationships>
</file>

<file path=xl/drawings/_rels/drawing25.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26.xml.rels><?xml version="1.0" encoding="UTF-8" standalone="yes"?>
<Relationships xmlns="http://schemas.openxmlformats.org/package/2006/relationships"><Relationship Id="rId3" Type="http://schemas.openxmlformats.org/officeDocument/2006/relationships/hyperlink" Target="#OR_Eingabe!A1"/><Relationship Id="rId2" Type="http://schemas.openxmlformats.org/officeDocument/2006/relationships/hyperlink" Target="#GL_Eingabe!A1"/><Relationship Id="rId1" Type="http://schemas.openxmlformats.org/officeDocument/2006/relationships/hyperlink" Target="#AB_Eingabe!A1"/><Relationship Id="rId4" Type="http://schemas.openxmlformats.org/officeDocument/2006/relationships/hyperlink" Target="#Startmenue!A1"/></Relationships>
</file>

<file path=xl/drawings/_rels/drawing27.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28.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29.xml.rels><?xml version="1.0" encoding="UTF-8" standalone="yes"?>
<Relationships xmlns="http://schemas.openxmlformats.org/package/2006/relationships"><Relationship Id="rId1" Type="http://schemas.openxmlformats.org/officeDocument/2006/relationships/hyperlink" Target="#Startmenue!A1"/></Relationships>
</file>

<file path=xl/drawings/_rels/drawing3.xml.rels><?xml version="1.0" encoding="UTF-8" standalone="yes"?>
<Relationships xmlns="http://schemas.openxmlformats.org/package/2006/relationships"><Relationship Id="rId8" Type="http://schemas.openxmlformats.org/officeDocument/2006/relationships/hyperlink" Target="#Hinweise!A58"/><Relationship Id="rId13" Type="http://schemas.openxmlformats.org/officeDocument/2006/relationships/hyperlink" Target="#Hinweise!A97"/><Relationship Id="rId3" Type="http://schemas.openxmlformats.org/officeDocument/2006/relationships/hyperlink" Target="#Startmenue!A1"/><Relationship Id="rId7" Type="http://schemas.openxmlformats.org/officeDocument/2006/relationships/hyperlink" Target="#Hinweise!A45"/><Relationship Id="rId12" Type="http://schemas.openxmlformats.org/officeDocument/2006/relationships/hyperlink" Target="#Hinweise!A88"/><Relationship Id="rId2" Type="http://schemas.openxmlformats.org/officeDocument/2006/relationships/hyperlink" Target="#AB_Ergebnis!A52:A70"/><Relationship Id="rId1" Type="http://schemas.openxmlformats.org/officeDocument/2006/relationships/hyperlink" Target="#AB_Ergebnis!A1"/><Relationship Id="rId6" Type="http://schemas.openxmlformats.org/officeDocument/2006/relationships/hyperlink" Target="#Hinweise!A42"/><Relationship Id="rId11" Type="http://schemas.openxmlformats.org/officeDocument/2006/relationships/hyperlink" Target="#Hinweise!A79"/><Relationship Id="rId5" Type="http://schemas.openxmlformats.org/officeDocument/2006/relationships/hyperlink" Target="#Hinweise!A41:A43"/><Relationship Id="rId10" Type="http://schemas.openxmlformats.org/officeDocument/2006/relationships/hyperlink" Target="#Hinweise!A70"/><Relationship Id="rId4" Type="http://schemas.openxmlformats.org/officeDocument/2006/relationships/hyperlink" Target="#Hinweise!A44"/><Relationship Id="rId9" Type="http://schemas.openxmlformats.org/officeDocument/2006/relationships/hyperlink" Target="#Hinweise!A64"/></Relationships>
</file>

<file path=xl/drawings/_rels/drawing4.xml.rels><?xml version="1.0" encoding="UTF-8" standalone="yes"?>
<Relationships xmlns="http://schemas.openxmlformats.org/package/2006/relationships"><Relationship Id="rId8" Type="http://schemas.openxmlformats.org/officeDocument/2006/relationships/hyperlink" Target="#Hinweise!A97"/><Relationship Id="rId3" Type="http://schemas.openxmlformats.org/officeDocument/2006/relationships/hyperlink" Target="#Hinweise!A111"/><Relationship Id="rId7" Type="http://schemas.openxmlformats.org/officeDocument/2006/relationships/hyperlink" Target="#Hinweise!A141"/><Relationship Id="rId2" Type="http://schemas.openxmlformats.org/officeDocument/2006/relationships/hyperlink" Target="#Startmenue!A1"/><Relationship Id="rId1" Type="http://schemas.openxmlformats.org/officeDocument/2006/relationships/hyperlink" Target="#AB_Eingabe!A1"/><Relationship Id="rId6" Type="http://schemas.openxmlformats.org/officeDocument/2006/relationships/hyperlink" Target="#Hinweise!A131"/><Relationship Id="rId5" Type="http://schemas.openxmlformats.org/officeDocument/2006/relationships/hyperlink" Target="#Hinweise!A140"/><Relationship Id="rId4" Type="http://schemas.openxmlformats.org/officeDocument/2006/relationships/hyperlink" Target="#Hinweise!A116"/></Relationships>
</file>

<file path=xl/drawings/_rels/drawing5.xml.rels><?xml version="1.0" encoding="UTF-8" standalone="yes"?>
<Relationships xmlns="http://schemas.openxmlformats.org/package/2006/relationships"><Relationship Id="rId2" Type="http://schemas.openxmlformats.org/officeDocument/2006/relationships/hyperlink" Target="#Startmenue!A1"/><Relationship Id="rId1" Type="http://schemas.openxmlformats.org/officeDocument/2006/relationships/hyperlink" Target="#AB_Eingabe!A1"/></Relationships>
</file>

<file path=xl/drawings/_rels/drawing6.xml.rels><?xml version="1.0" encoding="UTF-8" standalone="yes"?>
<Relationships xmlns="http://schemas.openxmlformats.org/package/2006/relationships"><Relationship Id="rId8" Type="http://schemas.openxmlformats.org/officeDocument/2006/relationships/hyperlink" Target="#Hinweise!A81"/><Relationship Id="rId3" Type="http://schemas.openxmlformats.org/officeDocument/2006/relationships/hyperlink" Target="#Startmenue!A1"/><Relationship Id="rId7" Type="http://schemas.openxmlformats.org/officeDocument/2006/relationships/hyperlink" Target="#Hinweise!A70:A73"/><Relationship Id="rId2" Type="http://schemas.openxmlformats.org/officeDocument/2006/relationships/hyperlink" Target="#GL_Ergebnis!A40:A60"/><Relationship Id="rId1" Type="http://schemas.openxmlformats.org/officeDocument/2006/relationships/hyperlink" Target="#GL_Ergebnis!A1"/><Relationship Id="rId6" Type="http://schemas.openxmlformats.org/officeDocument/2006/relationships/hyperlink" Target="#Hinweise!A50"/><Relationship Id="rId5" Type="http://schemas.openxmlformats.org/officeDocument/2006/relationships/hyperlink" Target="#Hinweise!A45"/><Relationship Id="rId10" Type="http://schemas.openxmlformats.org/officeDocument/2006/relationships/hyperlink" Target="#Hinweise!A79"/><Relationship Id="rId4" Type="http://schemas.openxmlformats.org/officeDocument/2006/relationships/hyperlink" Target="#Hinweise!A41:A43"/><Relationship Id="rId9" Type="http://schemas.openxmlformats.org/officeDocument/2006/relationships/hyperlink" Target="#Hinweise!A55"/></Relationships>
</file>

<file path=xl/drawings/_rels/drawing7.xml.rels><?xml version="1.0" encoding="UTF-8" standalone="yes"?>
<Relationships xmlns="http://schemas.openxmlformats.org/package/2006/relationships"><Relationship Id="rId3" Type="http://schemas.openxmlformats.org/officeDocument/2006/relationships/hyperlink" Target="#Hinweise!A116"/><Relationship Id="rId2" Type="http://schemas.openxmlformats.org/officeDocument/2006/relationships/hyperlink" Target="#Startmenue!A1"/><Relationship Id="rId1" Type="http://schemas.openxmlformats.org/officeDocument/2006/relationships/hyperlink" Target="#GL_Eingabe!A1"/><Relationship Id="rId6" Type="http://schemas.openxmlformats.org/officeDocument/2006/relationships/hyperlink" Target="#Hinweise!A141"/><Relationship Id="rId5" Type="http://schemas.openxmlformats.org/officeDocument/2006/relationships/hyperlink" Target="#Hinweise!A131"/><Relationship Id="rId4" Type="http://schemas.openxmlformats.org/officeDocument/2006/relationships/hyperlink" Target="#Hinweise!A140"/></Relationships>
</file>

<file path=xl/drawings/_rels/drawing8.xml.rels><?xml version="1.0" encoding="UTF-8" standalone="yes"?>
<Relationships xmlns="http://schemas.openxmlformats.org/package/2006/relationships"><Relationship Id="rId2" Type="http://schemas.openxmlformats.org/officeDocument/2006/relationships/hyperlink" Target="#Startmenue!A1"/><Relationship Id="rId1" Type="http://schemas.openxmlformats.org/officeDocument/2006/relationships/hyperlink" Target="#GL_Eingabe!A1"/></Relationships>
</file>

<file path=xl/drawings/_rels/drawing9.xml.rels><?xml version="1.0" encoding="UTF-8" standalone="yes"?>
<Relationships xmlns="http://schemas.openxmlformats.org/package/2006/relationships"><Relationship Id="rId8" Type="http://schemas.openxmlformats.org/officeDocument/2006/relationships/hyperlink" Target="#Hinweise!A70"/><Relationship Id="rId13" Type="http://schemas.openxmlformats.org/officeDocument/2006/relationships/hyperlink" Target="#Hinweise!A79"/><Relationship Id="rId3" Type="http://schemas.openxmlformats.org/officeDocument/2006/relationships/hyperlink" Target="#Startmenue!A1"/><Relationship Id="rId7" Type="http://schemas.openxmlformats.org/officeDocument/2006/relationships/hyperlink" Target="#Hinweise!A64"/><Relationship Id="rId12" Type="http://schemas.openxmlformats.org/officeDocument/2006/relationships/hyperlink" Target="#Hinweise!A81"/><Relationship Id="rId2" Type="http://schemas.openxmlformats.org/officeDocument/2006/relationships/hyperlink" Target="#OR_Ergebnis!A40:A60"/><Relationship Id="rId1" Type="http://schemas.openxmlformats.org/officeDocument/2006/relationships/hyperlink" Target="#OR_Ergebnis!A1"/><Relationship Id="rId6" Type="http://schemas.openxmlformats.org/officeDocument/2006/relationships/hyperlink" Target="#Hinweise!A45"/><Relationship Id="rId11" Type="http://schemas.openxmlformats.org/officeDocument/2006/relationships/hyperlink" Target="#Hinweise!A104"/><Relationship Id="rId5" Type="http://schemas.openxmlformats.org/officeDocument/2006/relationships/hyperlink" Target="#Hinweise!A44"/><Relationship Id="rId10" Type="http://schemas.openxmlformats.org/officeDocument/2006/relationships/hyperlink" Target="#Hinweise!A88:A94"/><Relationship Id="rId4" Type="http://schemas.openxmlformats.org/officeDocument/2006/relationships/hyperlink" Target="#Hinweise!A41:A43"/><Relationship Id="rId9" Type="http://schemas.openxmlformats.org/officeDocument/2006/relationships/hyperlink" Target="#Hinweise!A79:A85"/></Relationships>
</file>

<file path=xl/drawings/_rels/vmlDrawing9.v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 Id="rId5" Type="http://schemas.openxmlformats.org/officeDocument/2006/relationships/image" Target="../media/image10.emf"/><Relationship Id="rId4"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xdr:col>
      <xdr:colOff>17252</xdr:colOff>
      <xdr:row>9</xdr:row>
      <xdr:rowOff>17252</xdr:rowOff>
    </xdr:from>
    <xdr:to>
      <xdr:col>4</xdr:col>
      <xdr:colOff>17252</xdr:colOff>
      <xdr:row>12</xdr:row>
      <xdr:rowOff>120769</xdr:rowOff>
    </xdr:to>
    <xdr:sp macro="" textlink="">
      <xdr:nvSpPr>
        <xdr:cNvPr id="2" name="Rechteck 1">
          <a:hlinkClick xmlns:r="http://schemas.openxmlformats.org/officeDocument/2006/relationships" r:id="rId1"/>
        </xdr:cNvPr>
        <xdr:cNvSpPr/>
      </xdr:nvSpPr>
      <xdr:spPr>
        <a:xfrm>
          <a:off x="370935" y="1440610"/>
          <a:ext cx="1794294" cy="621102"/>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100" b="1">
              <a:solidFill>
                <a:schemeClr val="accent3">
                  <a:lumMod val="20000"/>
                  <a:lumOff val="80000"/>
                </a:schemeClr>
              </a:solidFill>
              <a:latin typeface="Arial" panose="020B0604020202020204" pitchFamily="34" charset="0"/>
              <a:ea typeface="+mn-ea"/>
              <a:cs typeface="Arial" panose="020B0604020202020204" pitchFamily="34" charset="0"/>
            </a:rPr>
            <a:t>Ackerbau </a:t>
          </a:r>
        </a:p>
      </xdr:txBody>
    </xdr:sp>
    <xdr:clientData/>
  </xdr:twoCellAnchor>
  <xdr:twoCellAnchor>
    <xdr:from>
      <xdr:col>4</xdr:col>
      <xdr:colOff>112144</xdr:colOff>
      <xdr:row>9</xdr:row>
      <xdr:rowOff>17254</xdr:rowOff>
    </xdr:from>
    <xdr:to>
      <xdr:col>6</xdr:col>
      <xdr:colOff>189780</xdr:colOff>
      <xdr:row>12</xdr:row>
      <xdr:rowOff>120771</xdr:rowOff>
    </xdr:to>
    <xdr:sp macro="" textlink="">
      <xdr:nvSpPr>
        <xdr:cNvPr id="3" name="Rechteck 2">
          <a:hlinkClick xmlns:r="http://schemas.openxmlformats.org/officeDocument/2006/relationships" r:id="rId2"/>
        </xdr:cNvPr>
        <xdr:cNvSpPr/>
      </xdr:nvSpPr>
      <xdr:spPr>
        <a:xfrm>
          <a:off x="1966823" y="1492371"/>
          <a:ext cx="1871931" cy="621102"/>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000" b="1">
              <a:solidFill>
                <a:schemeClr val="accent3">
                  <a:lumMod val="20000"/>
                  <a:lumOff val="80000"/>
                </a:schemeClr>
              </a:solidFill>
              <a:latin typeface="Arial" panose="020B0604020202020204" pitchFamily="34" charset="0"/>
              <a:ea typeface="+mn-ea"/>
              <a:cs typeface="Arial" panose="020B0604020202020204" pitchFamily="34" charset="0"/>
            </a:rPr>
            <a:t>(Dauer-)Grünland, </a:t>
          </a:r>
        </a:p>
        <a:p>
          <a:pPr marL="0" indent="0" algn="ctr"/>
          <a:r>
            <a:rPr lang="de-DE" sz="1000" b="1">
              <a:solidFill>
                <a:schemeClr val="accent3">
                  <a:lumMod val="20000"/>
                  <a:lumOff val="80000"/>
                </a:schemeClr>
              </a:solidFill>
              <a:latin typeface="Arial" panose="020B0604020202020204" pitchFamily="34" charset="0"/>
              <a:ea typeface="+mn-ea"/>
              <a:cs typeface="Arial" panose="020B0604020202020204" pitchFamily="34" charset="0"/>
            </a:rPr>
            <a:t>(Mäh-)Weide, mehr-schnittiger Feldfutterbau</a:t>
          </a:r>
        </a:p>
      </xdr:txBody>
    </xdr:sp>
    <xdr:clientData/>
  </xdr:twoCellAnchor>
  <xdr:twoCellAnchor>
    <xdr:from>
      <xdr:col>6</xdr:col>
      <xdr:colOff>281796</xdr:colOff>
      <xdr:row>9</xdr:row>
      <xdr:rowOff>14378</xdr:rowOff>
    </xdr:from>
    <xdr:to>
      <xdr:col>8</xdr:col>
      <xdr:colOff>281796</xdr:colOff>
      <xdr:row>12</xdr:row>
      <xdr:rowOff>117895</xdr:rowOff>
    </xdr:to>
    <xdr:sp macro="" textlink="">
      <xdr:nvSpPr>
        <xdr:cNvPr id="7" name="Rechteck 6">
          <a:hlinkClick xmlns:r="http://schemas.openxmlformats.org/officeDocument/2006/relationships" r:id="rId3"/>
        </xdr:cNvPr>
        <xdr:cNvSpPr/>
      </xdr:nvSpPr>
      <xdr:spPr>
        <a:xfrm>
          <a:off x="4224068" y="1437736"/>
          <a:ext cx="1794294" cy="621102"/>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100" b="1">
              <a:solidFill>
                <a:schemeClr val="accent3">
                  <a:lumMod val="20000"/>
                  <a:lumOff val="80000"/>
                </a:schemeClr>
              </a:solidFill>
              <a:latin typeface="Arial" panose="020B0604020202020204" pitchFamily="34" charset="0"/>
              <a:ea typeface="+mn-ea"/>
              <a:cs typeface="Arial" panose="020B0604020202020204" pitchFamily="34" charset="0"/>
            </a:rPr>
            <a:t>Obst und Reben</a:t>
          </a:r>
        </a:p>
      </xdr:txBody>
    </xdr:sp>
    <xdr:clientData/>
  </xdr:twoCellAnchor>
  <xdr:twoCellAnchor>
    <xdr:from>
      <xdr:col>8</xdr:col>
      <xdr:colOff>876990</xdr:colOff>
      <xdr:row>9</xdr:row>
      <xdr:rowOff>14376</xdr:rowOff>
    </xdr:from>
    <xdr:to>
      <xdr:col>10</xdr:col>
      <xdr:colOff>876990</xdr:colOff>
      <xdr:row>12</xdr:row>
      <xdr:rowOff>117893</xdr:rowOff>
    </xdr:to>
    <xdr:sp macro="" textlink="">
      <xdr:nvSpPr>
        <xdr:cNvPr id="5" name="Rechteck 4">
          <a:hlinkClick xmlns:r="http://schemas.openxmlformats.org/officeDocument/2006/relationships" r:id="rId4"/>
        </xdr:cNvPr>
        <xdr:cNvSpPr/>
      </xdr:nvSpPr>
      <xdr:spPr>
        <a:xfrm>
          <a:off x="6613556" y="1437734"/>
          <a:ext cx="1794294" cy="621102"/>
        </a:xfrm>
        <a:prstGeom prst="rect">
          <a:avLst/>
        </a:prstGeom>
        <a:solidFill>
          <a:schemeClr val="accent2"/>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1100" b="1">
              <a:solidFill>
                <a:schemeClr val="accent3">
                  <a:lumMod val="20000"/>
                  <a:lumOff val="80000"/>
                </a:schemeClr>
              </a:solidFill>
              <a:latin typeface="Arial" panose="020B0604020202020204" pitchFamily="34" charset="0"/>
              <a:ea typeface="+mn-ea"/>
              <a:cs typeface="Arial" panose="020B0604020202020204" pitchFamily="34" charset="0"/>
            </a:rPr>
            <a:t>Hinweise</a:t>
          </a:r>
        </a:p>
      </xdr:txBody>
    </xdr:sp>
    <xdr:clientData/>
  </xdr:twoCellAnchor>
  <xdr:twoCellAnchor>
    <xdr:from>
      <xdr:col>4</xdr:col>
      <xdr:colOff>0</xdr:colOff>
      <xdr:row>23</xdr:row>
      <xdr:rowOff>0</xdr:rowOff>
    </xdr:from>
    <xdr:to>
      <xdr:col>8</xdr:col>
      <xdr:colOff>266699</xdr:colOff>
      <xdr:row>33</xdr:row>
      <xdr:rowOff>161926</xdr:rowOff>
    </xdr:to>
    <xdr:sp macro="" textlink="Hinweise!$D$5">
      <xdr:nvSpPr>
        <xdr:cNvPr id="6" name="Textfeld 5"/>
        <xdr:cNvSpPr txBox="1"/>
      </xdr:nvSpPr>
      <xdr:spPr>
        <a:xfrm>
          <a:off x="1743075" y="3933825"/>
          <a:ext cx="3619499" cy="1952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F53F3FEF-349C-4135-8358-AC2BA90F7177}" type="TxLink">
            <a:rPr lang="en-US" sz="1200" b="1" i="0" u="none" strike="noStrike">
              <a:solidFill>
                <a:srgbClr val="FF0000"/>
              </a:solidFill>
              <a:latin typeface="Arial"/>
              <a:cs typeface="Arial"/>
            </a:rPr>
            <a:pPr algn="ctr"/>
            <a:t> </a:t>
          </a:fld>
          <a:endParaRPr lang="de-DE" sz="14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155403</xdr:colOff>
      <xdr:row>1</xdr:row>
      <xdr:rowOff>17249</xdr:rowOff>
    </xdr:from>
    <xdr:to>
      <xdr:col>4</xdr:col>
      <xdr:colOff>60511</xdr:colOff>
      <xdr:row>1</xdr:row>
      <xdr:rowOff>345054</xdr:rowOff>
    </xdr:to>
    <xdr:sp macro="" textlink="">
      <xdr:nvSpPr>
        <xdr:cNvPr id="2" name="Rechteck 1">
          <a:hlinkClick xmlns:r="http://schemas.openxmlformats.org/officeDocument/2006/relationships" r:id="rId1"/>
        </xdr:cNvPr>
        <xdr:cNvSpPr/>
      </xdr:nvSpPr>
      <xdr:spPr>
        <a:xfrm>
          <a:off x="1233705" y="51755"/>
          <a:ext cx="802255" cy="327805"/>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Obst/Reben  </a:t>
          </a:r>
        </a:p>
      </xdr:txBody>
    </xdr:sp>
    <xdr:clientData/>
  </xdr:twoCellAnchor>
  <xdr:twoCellAnchor>
    <xdr:from>
      <xdr:col>2</xdr:col>
      <xdr:colOff>31596</xdr:colOff>
      <xdr:row>1</xdr:row>
      <xdr:rowOff>23000</xdr:rowOff>
    </xdr:from>
    <xdr:to>
      <xdr:col>3</xdr:col>
      <xdr:colOff>57473</xdr:colOff>
      <xdr:row>1</xdr:row>
      <xdr:rowOff>350805</xdr:rowOff>
    </xdr:to>
    <xdr:sp macro="" textlink="">
      <xdr:nvSpPr>
        <xdr:cNvPr id="3" name="Rechteck 2">
          <a:hlinkClick xmlns:r="http://schemas.openxmlformats.org/officeDocument/2006/relationships" r:id="rId2"/>
        </xdr:cNvPr>
        <xdr:cNvSpPr/>
      </xdr:nvSpPr>
      <xdr:spPr>
        <a:xfrm>
          <a:off x="281762" y="57506"/>
          <a:ext cx="854013" cy="327805"/>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oneCellAnchor>
    <xdr:from>
      <xdr:col>1</xdr:col>
      <xdr:colOff>0</xdr:colOff>
      <xdr:row>38</xdr:row>
      <xdr:rowOff>0</xdr:rowOff>
    </xdr:from>
    <xdr:ext cx="215661" cy="172529"/>
    <xdr:sp macro="" textlink="">
      <xdr:nvSpPr>
        <xdr:cNvPr id="5" name="Rechteck 4">
          <a:hlinkClick xmlns:r="http://schemas.openxmlformats.org/officeDocument/2006/relationships" r:id="rId3"/>
        </xdr:cNvPr>
        <xdr:cNvSpPr/>
      </xdr:nvSpPr>
      <xdr:spPr>
        <a:xfrm flipH="1">
          <a:off x="25879" y="5710687"/>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57</xdr:row>
      <xdr:rowOff>0</xdr:rowOff>
    </xdr:from>
    <xdr:ext cx="215661" cy="172529"/>
    <xdr:sp macro="" textlink="">
      <xdr:nvSpPr>
        <xdr:cNvPr id="6" name="Rechteck 5">
          <a:hlinkClick xmlns:r="http://schemas.openxmlformats.org/officeDocument/2006/relationships" r:id="rId4"/>
        </xdr:cNvPr>
        <xdr:cNvSpPr/>
      </xdr:nvSpPr>
      <xdr:spPr>
        <a:xfrm flipH="1">
          <a:off x="25879" y="9092242"/>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58</xdr:row>
      <xdr:rowOff>0</xdr:rowOff>
    </xdr:from>
    <xdr:ext cx="215661" cy="172529"/>
    <xdr:sp macro="" textlink="">
      <xdr:nvSpPr>
        <xdr:cNvPr id="7" name="Rechteck 6">
          <a:hlinkClick xmlns:r="http://schemas.openxmlformats.org/officeDocument/2006/relationships" r:id="rId5"/>
        </xdr:cNvPr>
        <xdr:cNvSpPr/>
      </xdr:nvSpPr>
      <xdr:spPr>
        <a:xfrm flipH="1">
          <a:off x="25879" y="9273396"/>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69</xdr:row>
      <xdr:rowOff>0</xdr:rowOff>
    </xdr:from>
    <xdr:ext cx="215661" cy="172529"/>
    <xdr:sp macro="" textlink="">
      <xdr:nvSpPr>
        <xdr:cNvPr id="8" name="Rechteck 7">
          <a:hlinkClick xmlns:r="http://schemas.openxmlformats.org/officeDocument/2006/relationships" r:id="rId6"/>
        </xdr:cNvPr>
        <xdr:cNvSpPr/>
      </xdr:nvSpPr>
      <xdr:spPr>
        <a:xfrm flipH="1">
          <a:off x="25879" y="11188460"/>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49</xdr:row>
      <xdr:rowOff>0</xdr:rowOff>
    </xdr:from>
    <xdr:ext cx="215661" cy="172529"/>
    <xdr:sp macro="" textlink="">
      <xdr:nvSpPr>
        <xdr:cNvPr id="10" name="Rechteck 9">
          <a:hlinkClick xmlns:r="http://schemas.openxmlformats.org/officeDocument/2006/relationships" r:id="rId7"/>
        </xdr:cNvPr>
        <xdr:cNvSpPr/>
      </xdr:nvSpPr>
      <xdr:spPr>
        <a:xfrm flipH="1">
          <a:off x="25879" y="7677509"/>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wsDr>
</file>

<file path=xl/drawings/drawing11.xml><?xml version="1.0" encoding="utf-8"?>
<xdr:wsDr xmlns:xdr="http://schemas.openxmlformats.org/drawingml/2006/spreadsheetDrawing" xmlns:a="http://schemas.openxmlformats.org/drawingml/2006/main">
  <xdr:twoCellAnchor>
    <xdr:from>
      <xdr:col>4</xdr:col>
      <xdr:colOff>155403</xdr:colOff>
      <xdr:row>1</xdr:row>
      <xdr:rowOff>17249</xdr:rowOff>
    </xdr:from>
    <xdr:to>
      <xdr:col>5</xdr:col>
      <xdr:colOff>60511</xdr:colOff>
      <xdr:row>1</xdr:row>
      <xdr:rowOff>345054</xdr:rowOff>
    </xdr:to>
    <xdr:sp macro="" textlink="">
      <xdr:nvSpPr>
        <xdr:cNvPr id="2" name="Rechteck 1">
          <a:hlinkClick xmlns:r="http://schemas.openxmlformats.org/officeDocument/2006/relationships" r:id="rId1"/>
        </xdr:cNvPr>
        <xdr:cNvSpPr/>
      </xdr:nvSpPr>
      <xdr:spPr>
        <a:xfrm>
          <a:off x="1104309" y="51755"/>
          <a:ext cx="802255" cy="327805"/>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Obst/Reben  </a:t>
          </a:r>
        </a:p>
      </xdr:txBody>
    </xdr:sp>
    <xdr:clientData/>
  </xdr:twoCellAnchor>
  <xdr:twoCellAnchor>
    <xdr:from>
      <xdr:col>3</xdr:col>
      <xdr:colOff>31596</xdr:colOff>
      <xdr:row>1</xdr:row>
      <xdr:rowOff>23000</xdr:rowOff>
    </xdr:from>
    <xdr:to>
      <xdr:col>4</xdr:col>
      <xdr:colOff>57473</xdr:colOff>
      <xdr:row>1</xdr:row>
      <xdr:rowOff>350805</xdr:rowOff>
    </xdr:to>
    <xdr:sp macro="" textlink="">
      <xdr:nvSpPr>
        <xdr:cNvPr id="3" name="Rechteck 2">
          <a:hlinkClick xmlns:r="http://schemas.openxmlformats.org/officeDocument/2006/relationships" r:id="rId2"/>
        </xdr:cNvPr>
        <xdr:cNvSpPr/>
      </xdr:nvSpPr>
      <xdr:spPr>
        <a:xfrm>
          <a:off x="152366" y="57506"/>
          <a:ext cx="854013" cy="327805"/>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25920</xdr:colOff>
      <xdr:row>0</xdr:row>
      <xdr:rowOff>34523</xdr:rowOff>
    </xdr:from>
    <xdr:to>
      <xdr:col>5</xdr:col>
      <xdr:colOff>25917</xdr:colOff>
      <xdr:row>0</xdr:row>
      <xdr:rowOff>362327</xdr:rowOff>
    </xdr:to>
    <xdr:sp macro="" textlink="">
      <xdr:nvSpPr>
        <xdr:cNvPr id="32" name="Rechteck 31">
          <a:hlinkClick xmlns:r="http://schemas.openxmlformats.org/officeDocument/2006/relationships" r:id="rId1"/>
        </xdr:cNvPr>
        <xdr:cNvSpPr/>
      </xdr:nvSpPr>
      <xdr:spPr>
        <a:xfrm>
          <a:off x="77678" y="34523"/>
          <a:ext cx="854013"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34547</xdr:colOff>
      <xdr:row>0</xdr:row>
      <xdr:rowOff>34523</xdr:rowOff>
    </xdr:from>
    <xdr:to>
      <xdr:col>2</xdr:col>
      <xdr:colOff>552090</xdr:colOff>
      <xdr:row>0</xdr:row>
      <xdr:rowOff>362327</xdr:rowOff>
    </xdr:to>
    <xdr:sp macro="" textlink="">
      <xdr:nvSpPr>
        <xdr:cNvPr id="2" name="Rechteck 1">
          <a:hlinkClick xmlns:r="http://schemas.openxmlformats.org/officeDocument/2006/relationships" r:id="rId1"/>
        </xdr:cNvPr>
        <xdr:cNvSpPr/>
      </xdr:nvSpPr>
      <xdr:spPr>
        <a:xfrm>
          <a:off x="250207" y="34523"/>
          <a:ext cx="733204"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34547</xdr:colOff>
      <xdr:row>0</xdr:row>
      <xdr:rowOff>34523</xdr:rowOff>
    </xdr:from>
    <xdr:to>
      <xdr:col>2</xdr:col>
      <xdr:colOff>388188</xdr:colOff>
      <xdr:row>0</xdr:row>
      <xdr:rowOff>362327</xdr:rowOff>
    </xdr:to>
    <xdr:sp macro="" textlink="">
      <xdr:nvSpPr>
        <xdr:cNvPr id="2" name="Rechteck 1">
          <a:hlinkClick xmlns:r="http://schemas.openxmlformats.org/officeDocument/2006/relationships" r:id="rId1"/>
        </xdr:cNvPr>
        <xdr:cNvSpPr/>
      </xdr:nvSpPr>
      <xdr:spPr>
        <a:xfrm>
          <a:off x="250207" y="34523"/>
          <a:ext cx="776336"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43175</xdr:colOff>
      <xdr:row>0</xdr:row>
      <xdr:rowOff>34523</xdr:rowOff>
    </xdr:from>
    <xdr:to>
      <xdr:col>2</xdr:col>
      <xdr:colOff>698741</xdr:colOff>
      <xdr:row>0</xdr:row>
      <xdr:rowOff>362327</xdr:rowOff>
    </xdr:to>
    <xdr:sp macro="" textlink="">
      <xdr:nvSpPr>
        <xdr:cNvPr id="2" name="Rechteck 1">
          <a:hlinkClick xmlns:r="http://schemas.openxmlformats.org/officeDocument/2006/relationships" r:id="rId1"/>
        </xdr:cNvPr>
        <xdr:cNvSpPr/>
      </xdr:nvSpPr>
      <xdr:spPr>
        <a:xfrm>
          <a:off x="258835" y="34523"/>
          <a:ext cx="888480"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34564</xdr:colOff>
      <xdr:row>0</xdr:row>
      <xdr:rowOff>34523</xdr:rowOff>
    </xdr:from>
    <xdr:to>
      <xdr:col>3</xdr:col>
      <xdr:colOff>457217</xdr:colOff>
      <xdr:row>0</xdr:row>
      <xdr:rowOff>362327</xdr:rowOff>
    </xdr:to>
    <xdr:sp macro="" textlink="">
      <xdr:nvSpPr>
        <xdr:cNvPr id="3" name="Rechteck 2">
          <a:hlinkClick xmlns:r="http://schemas.openxmlformats.org/officeDocument/2006/relationships" r:id="rId1"/>
        </xdr:cNvPr>
        <xdr:cNvSpPr/>
      </xdr:nvSpPr>
      <xdr:spPr>
        <a:xfrm>
          <a:off x="250224" y="34523"/>
          <a:ext cx="784963"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twoCellAnchor>
    <xdr:from>
      <xdr:col>3</xdr:col>
      <xdr:colOff>681454</xdr:colOff>
      <xdr:row>0</xdr:row>
      <xdr:rowOff>43130</xdr:rowOff>
    </xdr:from>
    <xdr:to>
      <xdr:col>3</xdr:col>
      <xdr:colOff>1535466</xdr:colOff>
      <xdr:row>0</xdr:row>
      <xdr:rowOff>370933</xdr:rowOff>
    </xdr:to>
    <xdr:sp macro="" textlink="">
      <xdr:nvSpPr>
        <xdr:cNvPr id="13" name="Rechteck 12">
          <a:hlinkClick xmlns:r="http://schemas.openxmlformats.org/officeDocument/2006/relationships" r:id="rId2"/>
        </xdr:cNvPr>
        <xdr:cNvSpPr/>
      </xdr:nvSpPr>
      <xdr:spPr>
        <a:xfrm>
          <a:off x="1043763" y="43130"/>
          <a:ext cx="854012" cy="327803"/>
        </a:xfrm>
        <a:prstGeom prst="rect">
          <a:avLst/>
        </a:prstGeom>
        <a:solidFill>
          <a:srgbClr val="9BBB59">
            <a:lumMod val="20000"/>
            <a:lumOff val="80000"/>
          </a:srgb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Ackerbau</a:t>
          </a:r>
        </a:p>
      </xdr:txBody>
    </xdr:sp>
    <xdr:clientData/>
  </xdr:twoCellAnchor>
  <xdr:twoCellAnchor>
    <xdr:from>
      <xdr:col>3</xdr:col>
      <xdr:colOff>1587210</xdr:colOff>
      <xdr:row>0</xdr:row>
      <xdr:rowOff>43131</xdr:rowOff>
    </xdr:from>
    <xdr:to>
      <xdr:col>3</xdr:col>
      <xdr:colOff>2441223</xdr:colOff>
      <xdr:row>0</xdr:row>
      <xdr:rowOff>370935</xdr:rowOff>
    </xdr:to>
    <xdr:sp macro="" textlink="">
      <xdr:nvSpPr>
        <xdr:cNvPr id="14" name="Rechteck 13">
          <a:hlinkClick xmlns:r="http://schemas.openxmlformats.org/officeDocument/2006/relationships" r:id="rId3"/>
        </xdr:cNvPr>
        <xdr:cNvSpPr/>
      </xdr:nvSpPr>
      <xdr:spPr>
        <a:xfrm>
          <a:off x="1949519" y="43131"/>
          <a:ext cx="854013" cy="327804"/>
        </a:xfrm>
        <a:prstGeom prst="rect">
          <a:avLst/>
        </a:prstGeom>
        <a:solidFill>
          <a:srgbClr val="9BBB59">
            <a:lumMod val="20000"/>
            <a:lumOff val="80000"/>
          </a:srgb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Grünland</a:t>
          </a:r>
        </a:p>
      </xdr:txBody>
    </xdr:sp>
    <xdr:clientData/>
  </xdr:twoCellAnchor>
  <xdr:twoCellAnchor>
    <xdr:from>
      <xdr:col>3</xdr:col>
      <xdr:colOff>2484342</xdr:colOff>
      <xdr:row>0</xdr:row>
      <xdr:rowOff>43130</xdr:rowOff>
    </xdr:from>
    <xdr:to>
      <xdr:col>4</xdr:col>
      <xdr:colOff>500264</xdr:colOff>
      <xdr:row>0</xdr:row>
      <xdr:rowOff>370935</xdr:rowOff>
    </xdr:to>
    <xdr:sp macro="" textlink="">
      <xdr:nvSpPr>
        <xdr:cNvPr id="15" name="Rechteck 14">
          <a:hlinkClick xmlns:r="http://schemas.openxmlformats.org/officeDocument/2006/relationships" r:id="rId4"/>
        </xdr:cNvPr>
        <xdr:cNvSpPr/>
      </xdr:nvSpPr>
      <xdr:spPr>
        <a:xfrm>
          <a:off x="2846651" y="43130"/>
          <a:ext cx="802255" cy="327805"/>
        </a:xfrm>
        <a:prstGeom prst="rect">
          <a:avLst/>
        </a:prstGeom>
        <a:solidFill>
          <a:srgbClr val="9BBB59">
            <a:lumMod val="20000"/>
            <a:lumOff val="80000"/>
          </a:srgb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Obst/Reben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43203</xdr:colOff>
      <xdr:row>0</xdr:row>
      <xdr:rowOff>34523</xdr:rowOff>
    </xdr:from>
    <xdr:to>
      <xdr:col>2</xdr:col>
      <xdr:colOff>543464</xdr:colOff>
      <xdr:row>0</xdr:row>
      <xdr:rowOff>362327</xdr:rowOff>
    </xdr:to>
    <xdr:sp macro="" textlink="">
      <xdr:nvSpPr>
        <xdr:cNvPr id="2" name="Rechteck 1">
          <a:hlinkClick xmlns:r="http://schemas.openxmlformats.org/officeDocument/2006/relationships" r:id="rId1"/>
        </xdr:cNvPr>
        <xdr:cNvSpPr/>
      </xdr:nvSpPr>
      <xdr:spPr>
        <a:xfrm>
          <a:off x="258863" y="34523"/>
          <a:ext cx="767680"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xdr:col>
      <xdr:colOff>34556</xdr:colOff>
      <xdr:row>0</xdr:row>
      <xdr:rowOff>34523</xdr:rowOff>
    </xdr:from>
    <xdr:to>
      <xdr:col>2</xdr:col>
      <xdr:colOff>698749</xdr:colOff>
      <xdr:row>0</xdr:row>
      <xdr:rowOff>362327</xdr:rowOff>
    </xdr:to>
    <xdr:sp macro="" textlink="">
      <xdr:nvSpPr>
        <xdr:cNvPr id="2" name="Rechteck 1">
          <a:hlinkClick xmlns:r="http://schemas.openxmlformats.org/officeDocument/2006/relationships" r:id="rId1"/>
        </xdr:cNvPr>
        <xdr:cNvSpPr/>
      </xdr:nvSpPr>
      <xdr:spPr>
        <a:xfrm>
          <a:off x="250216" y="34523"/>
          <a:ext cx="862601"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34561</xdr:colOff>
      <xdr:row>0</xdr:row>
      <xdr:rowOff>34523</xdr:rowOff>
    </xdr:from>
    <xdr:to>
      <xdr:col>2</xdr:col>
      <xdr:colOff>577985</xdr:colOff>
      <xdr:row>0</xdr:row>
      <xdr:rowOff>362327</xdr:rowOff>
    </xdr:to>
    <xdr:sp macro="" textlink="">
      <xdr:nvSpPr>
        <xdr:cNvPr id="2" name="Rechteck 1">
          <a:hlinkClick xmlns:r="http://schemas.openxmlformats.org/officeDocument/2006/relationships" r:id="rId1"/>
        </xdr:cNvPr>
        <xdr:cNvSpPr/>
      </xdr:nvSpPr>
      <xdr:spPr>
        <a:xfrm>
          <a:off x="250221" y="34523"/>
          <a:ext cx="853975"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784988</xdr:colOff>
      <xdr:row>0</xdr:row>
      <xdr:rowOff>34504</xdr:rowOff>
    </xdr:from>
    <xdr:to>
      <xdr:col>4</xdr:col>
      <xdr:colOff>741853</xdr:colOff>
      <xdr:row>0</xdr:row>
      <xdr:rowOff>362307</xdr:rowOff>
    </xdr:to>
    <xdr:sp macro="" textlink="">
      <xdr:nvSpPr>
        <xdr:cNvPr id="2" name="Rechteck 1">
          <a:hlinkClick xmlns:r="http://schemas.openxmlformats.org/officeDocument/2006/relationships" r:id="rId1"/>
        </xdr:cNvPr>
        <xdr:cNvSpPr/>
      </xdr:nvSpPr>
      <xdr:spPr>
        <a:xfrm>
          <a:off x="1302573" y="34504"/>
          <a:ext cx="854012" cy="327803"/>
        </a:xfrm>
        <a:prstGeom prst="rect">
          <a:avLst/>
        </a:prstGeom>
        <a:solidFill>
          <a:srgbClr val="9BBB59">
            <a:lumMod val="20000"/>
            <a:lumOff val="80000"/>
          </a:srgb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Ackerbau</a:t>
          </a:r>
        </a:p>
      </xdr:txBody>
    </xdr:sp>
    <xdr:clientData/>
  </xdr:twoCellAnchor>
  <xdr:twoCellAnchor>
    <xdr:from>
      <xdr:col>4</xdr:col>
      <xdr:colOff>793597</xdr:colOff>
      <xdr:row>0</xdr:row>
      <xdr:rowOff>34505</xdr:rowOff>
    </xdr:from>
    <xdr:to>
      <xdr:col>5</xdr:col>
      <xdr:colOff>163867</xdr:colOff>
      <xdr:row>0</xdr:row>
      <xdr:rowOff>362309</xdr:rowOff>
    </xdr:to>
    <xdr:sp macro="" textlink="">
      <xdr:nvSpPr>
        <xdr:cNvPr id="3" name="Rechteck 2">
          <a:hlinkClick xmlns:r="http://schemas.openxmlformats.org/officeDocument/2006/relationships" r:id="rId2"/>
        </xdr:cNvPr>
        <xdr:cNvSpPr/>
      </xdr:nvSpPr>
      <xdr:spPr>
        <a:xfrm>
          <a:off x="2208329" y="34505"/>
          <a:ext cx="854013" cy="327804"/>
        </a:xfrm>
        <a:prstGeom prst="rect">
          <a:avLst/>
        </a:prstGeom>
        <a:solidFill>
          <a:srgbClr val="9BBB59">
            <a:lumMod val="20000"/>
            <a:lumOff val="80000"/>
          </a:srgb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Grünland</a:t>
          </a:r>
        </a:p>
      </xdr:txBody>
    </xdr:sp>
    <xdr:clientData/>
  </xdr:twoCellAnchor>
  <xdr:twoCellAnchor>
    <xdr:from>
      <xdr:col>5</xdr:col>
      <xdr:colOff>206986</xdr:colOff>
      <xdr:row>0</xdr:row>
      <xdr:rowOff>34504</xdr:rowOff>
    </xdr:from>
    <xdr:to>
      <xdr:col>6</xdr:col>
      <xdr:colOff>112093</xdr:colOff>
      <xdr:row>0</xdr:row>
      <xdr:rowOff>362309</xdr:rowOff>
    </xdr:to>
    <xdr:sp macro="" textlink="">
      <xdr:nvSpPr>
        <xdr:cNvPr id="4" name="Rechteck 3">
          <a:hlinkClick xmlns:r="http://schemas.openxmlformats.org/officeDocument/2006/relationships" r:id="rId3"/>
        </xdr:cNvPr>
        <xdr:cNvSpPr/>
      </xdr:nvSpPr>
      <xdr:spPr>
        <a:xfrm>
          <a:off x="3105461" y="34504"/>
          <a:ext cx="802255" cy="327805"/>
        </a:xfrm>
        <a:prstGeom prst="rect">
          <a:avLst/>
        </a:prstGeom>
        <a:solidFill>
          <a:srgbClr val="9BBB59">
            <a:lumMod val="20000"/>
            <a:lumOff val="80000"/>
          </a:srgb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Obst/Reben  </a:t>
          </a:r>
        </a:p>
      </xdr:txBody>
    </xdr:sp>
    <xdr:clientData/>
  </xdr:twoCellAnchor>
  <xdr:twoCellAnchor>
    <xdr:from>
      <xdr:col>1</xdr:col>
      <xdr:colOff>34520</xdr:colOff>
      <xdr:row>0</xdr:row>
      <xdr:rowOff>34504</xdr:rowOff>
    </xdr:from>
    <xdr:to>
      <xdr:col>3</xdr:col>
      <xdr:colOff>560729</xdr:colOff>
      <xdr:row>0</xdr:row>
      <xdr:rowOff>362309</xdr:rowOff>
    </xdr:to>
    <xdr:sp macro="" textlink="">
      <xdr:nvSpPr>
        <xdr:cNvPr id="5" name="Rechteck 4">
          <a:hlinkClick xmlns:r="http://schemas.openxmlformats.org/officeDocument/2006/relationships" r:id="rId4"/>
        </xdr:cNvPr>
        <xdr:cNvSpPr/>
      </xdr:nvSpPr>
      <xdr:spPr>
        <a:xfrm>
          <a:off x="224301" y="34504"/>
          <a:ext cx="854013" cy="327805"/>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twoCellAnchor>
    <xdr:from>
      <xdr:col>6</xdr:col>
      <xdr:colOff>336286</xdr:colOff>
      <xdr:row>0</xdr:row>
      <xdr:rowOff>34504</xdr:rowOff>
    </xdr:from>
    <xdr:to>
      <xdr:col>7</xdr:col>
      <xdr:colOff>293151</xdr:colOff>
      <xdr:row>0</xdr:row>
      <xdr:rowOff>362307</xdr:rowOff>
    </xdr:to>
    <xdr:sp macro="" textlink="">
      <xdr:nvSpPr>
        <xdr:cNvPr id="10" name="Rechteck 9">
          <a:hlinkClick xmlns:r="http://schemas.openxmlformats.org/officeDocument/2006/relationships" r:id="rId5"/>
        </xdr:cNvPr>
        <xdr:cNvSpPr/>
      </xdr:nvSpPr>
      <xdr:spPr>
        <a:xfrm>
          <a:off x="3976633" y="34504"/>
          <a:ext cx="845386" cy="327803"/>
        </a:xfrm>
        <a:prstGeom prst="rect">
          <a:avLst/>
        </a:prstGeom>
        <a:solidFill>
          <a:schemeClr val="accent3">
            <a:lumMod val="60000"/>
            <a:lumOff val="40000"/>
          </a:scheme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Ergebnis Ackerbau</a:t>
          </a:r>
        </a:p>
      </xdr:txBody>
    </xdr:sp>
    <xdr:clientData/>
  </xdr:twoCellAnchor>
  <xdr:twoCellAnchor>
    <xdr:from>
      <xdr:col>7</xdr:col>
      <xdr:colOff>344895</xdr:colOff>
      <xdr:row>0</xdr:row>
      <xdr:rowOff>34505</xdr:rowOff>
    </xdr:from>
    <xdr:to>
      <xdr:col>8</xdr:col>
      <xdr:colOff>310387</xdr:colOff>
      <xdr:row>0</xdr:row>
      <xdr:rowOff>362309</xdr:rowOff>
    </xdr:to>
    <xdr:sp macro="" textlink="">
      <xdr:nvSpPr>
        <xdr:cNvPr id="11" name="Rechteck 10">
          <a:hlinkClick xmlns:r="http://schemas.openxmlformats.org/officeDocument/2006/relationships" r:id="rId6"/>
        </xdr:cNvPr>
        <xdr:cNvSpPr/>
      </xdr:nvSpPr>
      <xdr:spPr>
        <a:xfrm>
          <a:off x="4873763" y="34505"/>
          <a:ext cx="854013" cy="327804"/>
        </a:xfrm>
        <a:prstGeom prst="rect">
          <a:avLst/>
        </a:prstGeom>
        <a:solidFill>
          <a:schemeClr val="accent3">
            <a:lumMod val="60000"/>
            <a:lumOff val="40000"/>
          </a:scheme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Ergebnis Grünland</a:t>
          </a:r>
        </a:p>
      </xdr:txBody>
    </xdr:sp>
    <xdr:clientData/>
  </xdr:twoCellAnchor>
  <xdr:twoCellAnchor>
    <xdr:from>
      <xdr:col>8</xdr:col>
      <xdr:colOff>353506</xdr:colOff>
      <xdr:row>0</xdr:row>
      <xdr:rowOff>34504</xdr:rowOff>
    </xdr:from>
    <xdr:to>
      <xdr:col>9</xdr:col>
      <xdr:colOff>258614</xdr:colOff>
      <xdr:row>0</xdr:row>
      <xdr:rowOff>362309</xdr:rowOff>
    </xdr:to>
    <xdr:sp macro="" textlink="">
      <xdr:nvSpPr>
        <xdr:cNvPr id="12" name="Rechteck 11">
          <a:hlinkClick xmlns:r="http://schemas.openxmlformats.org/officeDocument/2006/relationships" r:id="rId7"/>
        </xdr:cNvPr>
        <xdr:cNvSpPr/>
      </xdr:nvSpPr>
      <xdr:spPr>
        <a:xfrm>
          <a:off x="5770895" y="34504"/>
          <a:ext cx="793628" cy="327805"/>
        </a:xfrm>
        <a:prstGeom prst="rect">
          <a:avLst/>
        </a:prstGeom>
        <a:solidFill>
          <a:schemeClr val="accent3">
            <a:lumMod val="60000"/>
            <a:lumOff val="40000"/>
          </a:scheme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Ergebnis Obst/Reben  </a:t>
          </a:r>
        </a:p>
      </xdr:txBody>
    </xdr:sp>
    <xdr:clientData/>
  </xdr:twoCellAnchor>
  <xdr:twoCellAnchor>
    <xdr:from>
      <xdr:col>10</xdr:col>
      <xdr:colOff>1276350</xdr:colOff>
      <xdr:row>42</xdr:row>
      <xdr:rowOff>409575</xdr:rowOff>
    </xdr:from>
    <xdr:to>
      <xdr:col>12</xdr:col>
      <xdr:colOff>0</xdr:colOff>
      <xdr:row>42</xdr:row>
      <xdr:rowOff>737380</xdr:rowOff>
    </xdr:to>
    <xdr:sp macro="" textlink="">
      <xdr:nvSpPr>
        <xdr:cNvPr id="13" name="Rechteck 12">
          <a:hlinkClick xmlns:r="http://schemas.openxmlformats.org/officeDocument/2006/relationships" r:id="rId8"/>
        </xdr:cNvPr>
        <xdr:cNvSpPr/>
      </xdr:nvSpPr>
      <xdr:spPr>
        <a:xfrm>
          <a:off x="8362950" y="19897725"/>
          <a:ext cx="1600200" cy="327805"/>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Gemarkungen</a:t>
          </a:r>
        </a:p>
      </xdr:txBody>
    </xdr:sp>
    <xdr:clientData/>
  </xdr:twoCellAnchor>
  <xdr:twoCellAnchor>
    <xdr:from>
      <xdr:col>10</xdr:col>
      <xdr:colOff>836765</xdr:colOff>
      <xdr:row>77</xdr:row>
      <xdr:rowOff>16174</xdr:rowOff>
    </xdr:from>
    <xdr:to>
      <xdr:col>12</xdr:col>
      <xdr:colOff>0</xdr:colOff>
      <xdr:row>79</xdr:row>
      <xdr:rowOff>0</xdr:rowOff>
    </xdr:to>
    <xdr:sp macro="" textlink="">
      <xdr:nvSpPr>
        <xdr:cNvPr id="14" name="Rechteck 13">
          <a:hlinkClick xmlns:r="http://schemas.openxmlformats.org/officeDocument/2006/relationships" r:id="rId9"/>
        </xdr:cNvPr>
        <xdr:cNvSpPr/>
      </xdr:nvSpPr>
      <xdr:spPr>
        <a:xfrm>
          <a:off x="7923365" y="38259049"/>
          <a:ext cx="1049185" cy="326726"/>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organ. Dünger</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xdr:col>
      <xdr:colOff>17294</xdr:colOff>
      <xdr:row>0</xdr:row>
      <xdr:rowOff>34523</xdr:rowOff>
    </xdr:from>
    <xdr:to>
      <xdr:col>2</xdr:col>
      <xdr:colOff>672861</xdr:colOff>
      <xdr:row>0</xdr:row>
      <xdr:rowOff>362327</xdr:rowOff>
    </xdr:to>
    <xdr:sp macro="" textlink="">
      <xdr:nvSpPr>
        <xdr:cNvPr id="2" name="Rechteck 1">
          <a:hlinkClick xmlns:r="http://schemas.openxmlformats.org/officeDocument/2006/relationships" r:id="rId1"/>
        </xdr:cNvPr>
        <xdr:cNvSpPr/>
      </xdr:nvSpPr>
      <xdr:spPr>
        <a:xfrm>
          <a:off x="232954" y="34523"/>
          <a:ext cx="853975"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51808</xdr:colOff>
      <xdr:row>0</xdr:row>
      <xdr:rowOff>34523</xdr:rowOff>
    </xdr:from>
    <xdr:to>
      <xdr:col>2</xdr:col>
      <xdr:colOff>707375</xdr:colOff>
      <xdr:row>0</xdr:row>
      <xdr:rowOff>362327</xdr:rowOff>
    </xdr:to>
    <xdr:sp macro="" textlink="">
      <xdr:nvSpPr>
        <xdr:cNvPr id="2" name="Rechteck 1">
          <a:hlinkClick xmlns:r="http://schemas.openxmlformats.org/officeDocument/2006/relationships" r:id="rId1"/>
        </xdr:cNvPr>
        <xdr:cNvSpPr/>
      </xdr:nvSpPr>
      <xdr:spPr>
        <a:xfrm>
          <a:off x="267468" y="34523"/>
          <a:ext cx="853975"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25920</xdr:colOff>
      <xdr:row>0</xdr:row>
      <xdr:rowOff>34523</xdr:rowOff>
    </xdr:from>
    <xdr:to>
      <xdr:col>3</xdr:col>
      <xdr:colOff>422694</xdr:colOff>
      <xdr:row>0</xdr:row>
      <xdr:rowOff>362327</xdr:rowOff>
    </xdr:to>
    <xdr:sp macro="" textlink="">
      <xdr:nvSpPr>
        <xdr:cNvPr id="2" name="Rechteck 1">
          <a:hlinkClick xmlns:r="http://schemas.openxmlformats.org/officeDocument/2006/relationships" r:id="rId1"/>
        </xdr:cNvPr>
        <xdr:cNvSpPr/>
      </xdr:nvSpPr>
      <xdr:spPr>
        <a:xfrm>
          <a:off x="422735" y="34523"/>
          <a:ext cx="767710"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43205</xdr:colOff>
      <xdr:row>0</xdr:row>
      <xdr:rowOff>34523</xdr:rowOff>
    </xdr:from>
    <xdr:to>
      <xdr:col>2</xdr:col>
      <xdr:colOff>163933</xdr:colOff>
      <xdr:row>0</xdr:row>
      <xdr:rowOff>362327</xdr:rowOff>
    </xdr:to>
    <xdr:sp macro="" textlink="">
      <xdr:nvSpPr>
        <xdr:cNvPr id="2" name="Rechteck 1">
          <a:hlinkClick xmlns:r="http://schemas.openxmlformats.org/officeDocument/2006/relationships" r:id="rId1"/>
        </xdr:cNvPr>
        <xdr:cNvSpPr/>
      </xdr:nvSpPr>
      <xdr:spPr>
        <a:xfrm>
          <a:off x="250239" y="34523"/>
          <a:ext cx="802215"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8626</xdr:colOff>
          <xdr:row>48</xdr:row>
          <xdr:rowOff>0</xdr:rowOff>
        </xdr:from>
        <xdr:to>
          <xdr:col>2</xdr:col>
          <xdr:colOff>767751</xdr:colOff>
          <xdr:row>49</xdr:row>
          <xdr:rowOff>1</xdr:rowOff>
        </xdr:to>
        <xdr:pic>
          <xdr:nvPicPr>
            <xdr:cNvPr id="2" name="Picture 4"/>
            <xdr:cNvPicPr>
              <a:picLocks noChangeAspect="1" noChangeArrowheads="1"/>
              <a:extLst>
                <a:ext uri="{84589F7E-364E-4C9E-8A38-B11213B215E9}">
                  <a14:cameraTool cellRange="S$49" spid="_x0000_s123835"/>
                </a:ext>
              </a:extLst>
            </xdr:cNvPicPr>
          </xdr:nvPicPr>
          <xdr:blipFill>
            <a:blip xmlns:r="http://schemas.openxmlformats.org/officeDocument/2006/relationships" r:embed="rId1"/>
            <a:srcRect/>
            <a:stretch>
              <a:fillRect/>
            </a:stretch>
          </xdr:blipFill>
          <xdr:spPr bwMode="auto">
            <a:xfrm>
              <a:off x="1121434" y="7617125"/>
              <a:ext cx="759125" cy="163902"/>
            </a:xfrm>
            <a:prstGeom prst="rect">
              <a:avLst/>
            </a:prstGeom>
            <a:solidFill>
              <a:srgbClr val="FFFFFF" mc:Ignorable="a14" a14:legacySpreadsheetColorIndex="9"/>
            </a:solidFill>
            <a:ln w="3175">
              <a:solidFill>
                <a:srgbClr val="FFFFFF" mc:Ignorable="a14" a14:legacySpreadsheetColorIndex="9"/>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48</xdr:row>
          <xdr:rowOff>0</xdr:rowOff>
        </xdr:from>
        <xdr:to>
          <xdr:col>4</xdr:col>
          <xdr:colOff>759125</xdr:colOff>
          <xdr:row>49</xdr:row>
          <xdr:rowOff>0</xdr:rowOff>
        </xdr:to>
        <xdr:pic>
          <xdr:nvPicPr>
            <xdr:cNvPr id="3" name="Picture 5"/>
            <xdr:cNvPicPr>
              <a:picLocks noChangeAspect="1" noChangeArrowheads="1"/>
              <a:extLst>
                <a:ext uri="{84589F7E-364E-4C9E-8A38-B11213B215E9}">
                  <a14:cameraTool cellRange="T$49" spid="_x0000_s123836"/>
                </a:ext>
              </a:extLst>
            </xdr:cNvPicPr>
          </xdr:nvPicPr>
          <xdr:blipFill>
            <a:blip xmlns:r="http://schemas.openxmlformats.org/officeDocument/2006/relationships" r:embed="rId2"/>
            <a:srcRect/>
            <a:stretch>
              <a:fillRect/>
            </a:stretch>
          </xdr:blipFill>
          <xdr:spPr bwMode="auto">
            <a:xfrm>
              <a:off x="2976113" y="7617125"/>
              <a:ext cx="759125" cy="163902"/>
            </a:xfrm>
            <a:prstGeom prst="rect">
              <a:avLst/>
            </a:prstGeom>
            <a:solidFill>
              <a:srgbClr val="FFFFFF" mc:Ignorable="a14" a14:legacySpreadsheetColorIndex="9"/>
            </a:solidFill>
            <a:ln w="3175">
              <a:solidFill>
                <a:srgbClr val="FFFFFF" mc:Ignorable="a14" a14:legacySpreadsheetColorIndex="9"/>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6</xdr:col>
          <xdr:colOff>759125</xdr:colOff>
          <xdr:row>49</xdr:row>
          <xdr:rowOff>0</xdr:rowOff>
        </xdr:to>
        <xdr:pic>
          <xdr:nvPicPr>
            <xdr:cNvPr id="4" name="Picture 6"/>
            <xdr:cNvPicPr>
              <a:picLocks noChangeAspect="1" noChangeArrowheads="1"/>
              <a:extLst>
                <a:ext uri="{84589F7E-364E-4C9E-8A38-B11213B215E9}">
                  <a14:cameraTool cellRange="U$49" spid="_x0000_s123837"/>
                </a:ext>
              </a:extLst>
            </xdr:cNvPicPr>
          </xdr:nvPicPr>
          <xdr:blipFill>
            <a:blip xmlns:r="http://schemas.openxmlformats.org/officeDocument/2006/relationships" r:embed="rId3"/>
            <a:srcRect/>
            <a:stretch>
              <a:fillRect/>
            </a:stretch>
          </xdr:blipFill>
          <xdr:spPr bwMode="auto">
            <a:xfrm>
              <a:off x="4770408" y="7617125"/>
              <a:ext cx="759125" cy="163902"/>
            </a:xfrm>
            <a:prstGeom prst="rect">
              <a:avLst/>
            </a:prstGeom>
            <a:solidFill>
              <a:srgbClr val="FFFFFF" mc:Ignorable="a14" a14:legacySpreadsheetColorIndex="9"/>
            </a:solidFill>
            <a:ln w="3175">
              <a:solidFill>
                <a:srgbClr val="FFFFFF" mc:Ignorable="a14" a14:legacySpreadsheetColorIndex="9"/>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48</xdr:row>
          <xdr:rowOff>0</xdr:rowOff>
        </xdr:from>
        <xdr:to>
          <xdr:col>8</xdr:col>
          <xdr:colOff>759125</xdr:colOff>
          <xdr:row>49</xdr:row>
          <xdr:rowOff>0</xdr:rowOff>
        </xdr:to>
        <xdr:pic>
          <xdr:nvPicPr>
            <xdr:cNvPr id="5" name="Picture 7"/>
            <xdr:cNvPicPr>
              <a:picLocks noChangeAspect="1" noChangeArrowheads="1"/>
              <a:extLst>
                <a:ext uri="{84589F7E-364E-4C9E-8A38-B11213B215E9}">
                  <a14:cameraTool cellRange="V$49" spid="_x0000_s123838"/>
                </a:ext>
              </a:extLst>
            </xdr:cNvPicPr>
          </xdr:nvPicPr>
          <xdr:blipFill>
            <a:blip xmlns:r="http://schemas.openxmlformats.org/officeDocument/2006/relationships" r:embed="rId4"/>
            <a:srcRect/>
            <a:stretch>
              <a:fillRect/>
            </a:stretch>
          </xdr:blipFill>
          <xdr:spPr bwMode="auto">
            <a:xfrm>
              <a:off x="6564702" y="7617125"/>
              <a:ext cx="759125" cy="163902"/>
            </a:xfrm>
            <a:prstGeom prst="rect">
              <a:avLst/>
            </a:prstGeom>
            <a:solidFill>
              <a:srgbClr val="FFFFFF" mc:Ignorable="a14" a14:legacySpreadsheetColorIndex="9"/>
            </a:solidFill>
            <a:ln w="3175">
              <a:solidFill>
                <a:srgbClr val="FFFFFF" mc:Ignorable="a14" a14:legacySpreadsheetColorIndex="9"/>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8626</xdr:colOff>
          <xdr:row>47</xdr:row>
          <xdr:rowOff>155275</xdr:rowOff>
        </xdr:from>
        <xdr:to>
          <xdr:col>10</xdr:col>
          <xdr:colOff>767751</xdr:colOff>
          <xdr:row>48</xdr:row>
          <xdr:rowOff>155275</xdr:rowOff>
        </xdr:to>
        <xdr:pic>
          <xdr:nvPicPr>
            <xdr:cNvPr id="6" name="Picture 8"/>
            <xdr:cNvPicPr>
              <a:picLocks noChangeAspect="1" noChangeArrowheads="1"/>
              <a:extLst>
                <a:ext uri="{84589F7E-364E-4C9E-8A38-B11213B215E9}">
                  <a14:cameraTool cellRange="W$49" spid="_x0000_s123839"/>
                </a:ext>
              </a:extLst>
            </xdr:cNvPicPr>
          </xdr:nvPicPr>
          <xdr:blipFill>
            <a:blip xmlns:r="http://schemas.openxmlformats.org/officeDocument/2006/relationships" r:embed="rId5"/>
            <a:srcRect/>
            <a:stretch>
              <a:fillRect/>
            </a:stretch>
          </xdr:blipFill>
          <xdr:spPr bwMode="auto">
            <a:xfrm>
              <a:off x="8367622" y="7608498"/>
              <a:ext cx="759125" cy="163902"/>
            </a:xfrm>
            <a:prstGeom prst="rect">
              <a:avLst/>
            </a:prstGeom>
            <a:solidFill>
              <a:srgbClr val="FFFFFF" mc:Ignorable="a14" a14:legacySpreadsheetColorIndex="9"/>
            </a:solidFill>
            <a:ln w="3175">
              <a:solidFill>
                <a:srgbClr val="FFFFFF" mc:Ignorable="a14" a14:legacySpreadsheetColorIndex="9"/>
              </a:solidFill>
              <a:miter lim="800000"/>
              <a:headEnd/>
              <a:tailEnd/>
            </a:ln>
          </xdr:spPr>
        </xdr:pic>
        <xdr:clientData/>
      </xdr:twoCellAnchor>
    </mc:Choice>
    <mc:Fallback/>
  </mc:AlternateContent>
  <mc:AlternateContent xmlns:mc="http://schemas.openxmlformats.org/markup-compatibility/2006">
    <mc:Choice xmlns:a14="http://schemas.microsoft.com/office/drawing/2010/main" Requires="a14">
      <xdr:oneCellAnchor>
        <xdr:from>
          <xdr:col>12</xdr:col>
          <xdr:colOff>0</xdr:colOff>
          <xdr:row>47</xdr:row>
          <xdr:rowOff>155275</xdr:rowOff>
        </xdr:from>
        <xdr:ext cx="759125" cy="163902"/>
        <xdr:pic>
          <xdr:nvPicPr>
            <xdr:cNvPr id="7" name="Picture 8"/>
            <xdr:cNvPicPr>
              <a:picLocks noChangeAspect="1" noChangeArrowheads="1"/>
              <a:extLst>
                <a:ext uri="{84589F7E-364E-4C9E-8A38-B11213B215E9}">
                  <a14:cameraTool cellRange="W$49" spid="_x0000_s123840"/>
                </a:ext>
              </a:extLst>
            </xdr:cNvPicPr>
          </xdr:nvPicPr>
          <xdr:blipFill>
            <a:blip xmlns:r="http://schemas.openxmlformats.org/officeDocument/2006/relationships" r:embed="rId5"/>
            <a:srcRect/>
            <a:stretch>
              <a:fillRect/>
            </a:stretch>
          </xdr:blipFill>
          <xdr:spPr bwMode="auto">
            <a:xfrm>
              <a:off x="8367622" y="7608498"/>
              <a:ext cx="759125" cy="163902"/>
            </a:xfrm>
            <a:prstGeom prst="rect">
              <a:avLst/>
            </a:prstGeom>
            <a:solidFill>
              <a:srgbClr val="FFFFFF" mc:Ignorable="a14" a14:legacySpreadsheetColorIndex="9"/>
            </a:solidFill>
            <a:ln w="3175">
              <a:solidFill>
                <a:srgbClr val="FFFFFF" mc:Ignorable="a14" a14:legacySpreadsheetColorIndex="9"/>
              </a:solidFill>
              <a:miter lim="800000"/>
              <a:headEnd/>
              <a:tailEnd/>
            </a:ln>
          </xdr:spPr>
        </xdr:pic>
        <xdr:clientData/>
      </xdr:oneCellAnchor>
    </mc:Choice>
    <mc:Fallback/>
  </mc:AlternateContent>
  <xdr:twoCellAnchor>
    <xdr:from>
      <xdr:col>1</xdr:col>
      <xdr:colOff>25964</xdr:colOff>
      <xdr:row>0</xdr:row>
      <xdr:rowOff>34523</xdr:rowOff>
    </xdr:from>
    <xdr:to>
      <xdr:col>1</xdr:col>
      <xdr:colOff>879939</xdr:colOff>
      <xdr:row>0</xdr:row>
      <xdr:rowOff>362327</xdr:rowOff>
    </xdr:to>
    <xdr:sp macro="" textlink="">
      <xdr:nvSpPr>
        <xdr:cNvPr id="8" name="Rechteck 7">
          <a:hlinkClick xmlns:r="http://schemas.openxmlformats.org/officeDocument/2006/relationships" r:id="rId6"/>
        </xdr:cNvPr>
        <xdr:cNvSpPr/>
      </xdr:nvSpPr>
      <xdr:spPr>
        <a:xfrm>
          <a:off x="241624" y="34523"/>
          <a:ext cx="853975"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34547</xdr:colOff>
      <xdr:row>0</xdr:row>
      <xdr:rowOff>43149</xdr:rowOff>
    </xdr:from>
    <xdr:to>
      <xdr:col>1</xdr:col>
      <xdr:colOff>828136</xdr:colOff>
      <xdr:row>0</xdr:row>
      <xdr:rowOff>370953</xdr:rowOff>
    </xdr:to>
    <xdr:sp macro="" textlink="">
      <xdr:nvSpPr>
        <xdr:cNvPr id="2" name="Rechteck 1">
          <a:hlinkClick xmlns:r="http://schemas.openxmlformats.org/officeDocument/2006/relationships" r:id="rId1"/>
        </xdr:cNvPr>
        <xdr:cNvSpPr/>
      </xdr:nvSpPr>
      <xdr:spPr>
        <a:xfrm>
          <a:off x="250207" y="43149"/>
          <a:ext cx="793589"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xdr:col>
      <xdr:colOff>612445</xdr:colOff>
      <xdr:row>0</xdr:row>
      <xdr:rowOff>34506</xdr:rowOff>
    </xdr:from>
    <xdr:to>
      <xdr:col>1</xdr:col>
      <xdr:colOff>1466457</xdr:colOff>
      <xdr:row>0</xdr:row>
      <xdr:rowOff>362309</xdr:rowOff>
    </xdr:to>
    <xdr:sp macro="" textlink="">
      <xdr:nvSpPr>
        <xdr:cNvPr id="6" name="Rechteck 5">
          <a:hlinkClick xmlns:r="http://schemas.openxmlformats.org/officeDocument/2006/relationships" r:id="rId1"/>
        </xdr:cNvPr>
        <xdr:cNvSpPr/>
      </xdr:nvSpPr>
      <xdr:spPr>
        <a:xfrm>
          <a:off x="1104151" y="34506"/>
          <a:ext cx="854012" cy="327803"/>
        </a:xfrm>
        <a:prstGeom prst="rect">
          <a:avLst/>
        </a:prstGeom>
        <a:solidFill>
          <a:srgbClr val="9BBB59">
            <a:lumMod val="20000"/>
            <a:lumOff val="80000"/>
          </a:srgb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Ackerbau</a:t>
          </a:r>
        </a:p>
      </xdr:txBody>
    </xdr:sp>
    <xdr:clientData/>
  </xdr:twoCellAnchor>
  <xdr:twoCellAnchor>
    <xdr:from>
      <xdr:col>1</xdr:col>
      <xdr:colOff>1518201</xdr:colOff>
      <xdr:row>0</xdr:row>
      <xdr:rowOff>34507</xdr:rowOff>
    </xdr:from>
    <xdr:to>
      <xdr:col>2</xdr:col>
      <xdr:colOff>707316</xdr:colOff>
      <xdr:row>0</xdr:row>
      <xdr:rowOff>362311</xdr:rowOff>
    </xdr:to>
    <xdr:sp macro="" textlink="">
      <xdr:nvSpPr>
        <xdr:cNvPr id="7" name="Rechteck 6">
          <a:hlinkClick xmlns:r="http://schemas.openxmlformats.org/officeDocument/2006/relationships" r:id="rId2"/>
        </xdr:cNvPr>
        <xdr:cNvSpPr/>
      </xdr:nvSpPr>
      <xdr:spPr>
        <a:xfrm>
          <a:off x="2009907" y="34507"/>
          <a:ext cx="854013" cy="327804"/>
        </a:xfrm>
        <a:prstGeom prst="rect">
          <a:avLst/>
        </a:prstGeom>
        <a:solidFill>
          <a:srgbClr val="9BBB59">
            <a:lumMod val="20000"/>
            <a:lumOff val="80000"/>
          </a:srgb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Grünland</a:t>
          </a:r>
        </a:p>
      </xdr:txBody>
    </xdr:sp>
    <xdr:clientData/>
  </xdr:twoCellAnchor>
  <xdr:twoCellAnchor>
    <xdr:from>
      <xdr:col>2</xdr:col>
      <xdr:colOff>750435</xdr:colOff>
      <xdr:row>0</xdr:row>
      <xdr:rowOff>34506</xdr:rowOff>
    </xdr:from>
    <xdr:to>
      <xdr:col>2</xdr:col>
      <xdr:colOff>1552690</xdr:colOff>
      <xdr:row>0</xdr:row>
      <xdr:rowOff>362311</xdr:rowOff>
    </xdr:to>
    <xdr:sp macro="" textlink="">
      <xdr:nvSpPr>
        <xdr:cNvPr id="10" name="Rechteck 9">
          <a:hlinkClick xmlns:r="http://schemas.openxmlformats.org/officeDocument/2006/relationships" r:id="rId3"/>
        </xdr:cNvPr>
        <xdr:cNvSpPr/>
      </xdr:nvSpPr>
      <xdr:spPr>
        <a:xfrm>
          <a:off x="2907039" y="34506"/>
          <a:ext cx="802255" cy="327805"/>
        </a:xfrm>
        <a:prstGeom prst="rect">
          <a:avLst/>
        </a:prstGeom>
        <a:solidFill>
          <a:srgbClr val="9BBB59">
            <a:lumMod val="20000"/>
            <a:lumOff val="80000"/>
          </a:srgbClr>
        </a:solidFill>
        <a:ln w="9525" cap="flat" cmpd="sng" algn="ctr">
          <a:solidFill>
            <a:srgbClr val="9BBB59">
              <a:lumMod val="20000"/>
              <a:lumOff val="80000"/>
            </a:srgbClr>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50000"/>
                </a:srgbClr>
              </a:solidFill>
              <a:effectLst/>
              <a:uLnTx/>
              <a:uFillTx/>
              <a:latin typeface="Arial" panose="020B0604020202020204" pitchFamily="34" charset="0"/>
              <a:ea typeface="+mn-ea"/>
              <a:cs typeface="Arial" panose="020B0604020202020204" pitchFamily="34" charset="0"/>
            </a:rPr>
            <a:t>Eingabe Obst/Reben  </a:t>
          </a:r>
        </a:p>
      </xdr:txBody>
    </xdr:sp>
    <xdr:clientData/>
  </xdr:twoCellAnchor>
  <xdr:twoCellAnchor>
    <xdr:from>
      <xdr:col>0</xdr:col>
      <xdr:colOff>25879</xdr:colOff>
      <xdr:row>0</xdr:row>
      <xdr:rowOff>34506</xdr:rowOff>
    </xdr:from>
    <xdr:to>
      <xdr:col>1</xdr:col>
      <xdr:colOff>388186</xdr:colOff>
      <xdr:row>0</xdr:row>
      <xdr:rowOff>362311</xdr:rowOff>
    </xdr:to>
    <xdr:sp macro="" textlink="">
      <xdr:nvSpPr>
        <xdr:cNvPr id="12" name="Rechteck 11">
          <a:hlinkClick xmlns:r="http://schemas.openxmlformats.org/officeDocument/2006/relationships" r:id="rId4"/>
        </xdr:cNvPr>
        <xdr:cNvSpPr/>
      </xdr:nvSpPr>
      <xdr:spPr>
        <a:xfrm>
          <a:off x="25879" y="34506"/>
          <a:ext cx="854013" cy="327805"/>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25920</xdr:colOff>
      <xdr:row>0</xdr:row>
      <xdr:rowOff>34523</xdr:rowOff>
    </xdr:from>
    <xdr:to>
      <xdr:col>0</xdr:col>
      <xdr:colOff>879895</xdr:colOff>
      <xdr:row>0</xdr:row>
      <xdr:rowOff>362327</xdr:rowOff>
    </xdr:to>
    <xdr:sp macro="" textlink="">
      <xdr:nvSpPr>
        <xdr:cNvPr id="2" name="Rechteck 1">
          <a:hlinkClick xmlns:r="http://schemas.openxmlformats.org/officeDocument/2006/relationships" r:id="rId1"/>
        </xdr:cNvPr>
        <xdr:cNvSpPr/>
      </xdr:nvSpPr>
      <xdr:spPr>
        <a:xfrm>
          <a:off x="25920" y="34523"/>
          <a:ext cx="815875" cy="146829"/>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112178</xdr:colOff>
      <xdr:row>0</xdr:row>
      <xdr:rowOff>34523</xdr:rowOff>
    </xdr:from>
    <xdr:to>
      <xdr:col>6</xdr:col>
      <xdr:colOff>224279</xdr:colOff>
      <xdr:row>0</xdr:row>
      <xdr:rowOff>362327</xdr:rowOff>
    </xdr:to>
    <xdr:sp macro="" textlink="">
      <xdr:nvSpPr>
        <xdr:cNvPr id="2" name="Rechteck 1">
          <a:hlinkClick xmlns:r="http://schemas.openxmlformats.org/officeDocument/2006/relationships" r:id="rId1"/>
        </xdr:cNvPr>
        <xdr:cNvSpPr/>
      </xdr:nvSpPr>
      <xdr:spPr>
        <a:xfrm>
          <a:off x="189816" y="34523"/>
          <a:ext cx="733203"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43173</xdr:colOff>
      <xdr:row>0</xdr:row>
      <xdr:rowOff>34523</xdr:rowOff>
    </xdr:from>
    <xdr:to>
      <xdr:col>1</xdr:col>
      <xdr:colOff>897148</xdr:colOff>
      <xdr:row>0</xdr:row>
      <xdr:rowOff>362327</xdr:rowOff>
    </xdr:to>
    <xdr:sp macro="" textlink="">
      <xdr:nvSpPr>
        <xdr:cNvPr id="2" name="Rechteck 1">
          <a:hlinkClick xmlns:r="http://schemas.openxmlformats.org/officeDocument/2006/relationships" r:id="rId1"/>
        </xdr:cNvPr>
        <xdr:cNvSpPr/>
      </xdr:nvSpPr>
      <xdr:spPr>
        <a:xfrm>
          <a:off x="207075" y="34523"/>
          <a:ext cx="853975" cy="327804"/>
        </a:xfrm>
        <a:prstGeom prst="rect">
          <a:avLst/>
        </a:prstGeom>
        <a:solidFill>
          <a:srgbClr val="9BBB59">
            <a:lumMod val="75000"/>
          </a:srgbClr>
        </a:solidFill>
        <a:ln w="9525" cap="flat" cmpd="sng" algn="ctr">
          <a:solidFill>
            <a:srgbClr val="9BBB59"/>
          </a:solidFill>
          <a:prstDash val="solid"/>
        </a:ln>
        <a:effectLst>
          <a:outerShdw blurRad="40000" dist="23000" dir="5400000" rotWithShape="0">
            <a:srgbClr val="000000">
              <a:alpha val="35000"/>
            </a:srgbClr>
          </a:outerShdw>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de-DE" sz="800" b="1" i="0" u="none" strike="noStrike" kern="0" cap="none" spc="0" normalizeH="0" baseline="0" noProof="0">
              <a:ln>
                <a:noFill/>
              </a:ln>
              <a:solidFill>
                <a:srgbClr val="9BBB59">
                  <a:lumMod val="20000"/>
                  <a:lumOff val="80000"/>
                </a:srgbClr>
              </a:solidFill>
              <a:effectLst/>
              <a:uLnTx/>
              <a:uFillTx/>
              <a:latin typeface="Arial" panose="020B0604020202020204" pitchFamily="34" charset="0"/>
              <a:ea typeface="+mn-ea"/>
              <a:cs typeface="Arial" panose="020B0604020202020204" pitchFamily="34" charset="0"/>
            </a:rPr>
            <a:t>Startmenü</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200025</xdr:colOff>
      <xdr:row>23</xdr:row>
      <xdr:rowOff>47625</xdr:rowOff>
    </xdr:from>
    <xdr:to>
      <xdr:col>8</xdr:col>
      <xdr:colOff>200024</xdr:colOff>
      <xdr:row>31</xdr:row>
      <xdr:rowOff>95251</xdr:rowOff>
    </xdr:to>
    <xdr:sp macro="" textlink="Hinweise!$D$5">
      <xdr:nvSpPr>
        <xdr:cNvPr id="3" name="Textfeld 2"/>
        <xdr:cNvSpPr txBox="1"/>
      </xdr:nvSpPr>
      <xdr:spPr>
        <a:xfrm>
          <a:off x="2200275" y="3333750"/>
          <a:ext cx="3619499" cy="1419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F53F3FEF-349C-4135-8358-AC2BA90F7177}" type="TxLink">
            <a:rPr lang="en-US" sz="1200" b="1" i="0" u="none" strike="noStrike">
              <a:solidFill>
                <a:srgbClr val="FF0000"/>
              </a:solidFill>
              <a:latin typeface="Arial"/>
              <a:cs typeface="Arial"/>
            </a:rPr>
            <a:pPr algn="ctr"/>
            <a:t> </a:t>
          </a:fld>
          <a:endParaRPr lang="de-DE" sz="1400"/>
        </a:p>
      </xdr:txBody>
    </xdr:sp>
    <xdr:clientData/>
  </xdr:twoCellAnchor>
  <xdr:twoCellAnchor>
    <xdr:from>
      <xdr:col>6</xdr:col>
      <xdr:colOff>319176</xdr:colOff>
      <xdr:row>1</xdr:row>
      <xdr:rowOff>17243</xdr:rowOff>
    </xdr:from>
    <xdr:to>
      <xdr:col>7</xdr:col>
      <xdr:colOff>342900</xdr:colOff>
      <xdr:row>1</xdr:row>
      <xdr:rowOff>353674</xdr:rowOff>
    </xdr:to>
    <xdr:sp macro="" textlink="">
      <xdr:nvSpPr>
        <xdr:cNvPr id="5" name="Rechteck 4">
          <a:hlinkClick xmlns:r="http://schemas.openxmlformats.org/officeDocument/2006/relationships" r:id="rId1"/>
        </xdr:cNvPr>
        <xdr:cNvSpPr/>
      </xdr:nvSpPr>
      <xdr:spPr>
        <a:xfrm>
          <a:off x="4072026" y="45818"/>
          <a:ext cx="880974" cy="336431"/>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Stickstoff</a:t>
          </a:r>
        </a:p>
      </xdr:txBody>
    </xdr:sp>
    <xdr:clientData/>
  </xdr:twoCellAnchor>
  <xdr:twoCellAnchor>
    <xdr:from>
      <xdr:col>7</xdr:col>
      <xdr:colOff>419100</xdr:colOff>
      <xdr:row>1</xdr:row>
      <xdr:rowOff>17251</xdr:rowOff>
    </xdr:from>
    <xdr:to>
      <xdr:col>9</xdr:col>
      <xdr:colOff>762000</xdr:colOff>
      <xdr:row>1</xdr:row>
      <xdr:rowOff>353683</xdr:rowOff>
    </xdr:to>
    <xdr:sp macro="" textlink="">
      <xdr:nvSpPr>
        <xdr:cNvPr id="6" name="Rechteck 5">
          <a:hlinkClick xmlns:r="http://schemas.openxmlformats.org/officeDocument/2006/relationships" r:id="rId2"/>
        </xdr:cNvPr>
        <xdr:cNvSpPr/>
      </xdr:nvSpPr>
      <xdr:spPr>
        <a:xfrm>
          <a:off x="5029200" y="45826"/>
          <a:ext cx="2343150" cy="336432"/>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Phosphat, Kali, Magnesiumoxid u. Kalk</a:t>
          </a:r>
        </a:p>
      </xdr:txBody>
    </xdr:sp>
    <xdr:clientData/>
  </xdr:twoCellAnchor>
  <xdr:twoCellAnchor>
    <xdr:from>
      <xdr:col>2</xdr:col>
      <xdr:colOff>22970</xdr:colOff>
      <xdr:row>1</xdr:row>
      <xdr:rowOff>14400</xdr:rowOff>
    </xdr:from>
    <xdr:to>
      <xdr:col>2</xdr:col>
      <xdr:colOff>876983</xdr:colOff>
      <xdr:row>1</xdr:row>
      <xdr:rowOff>350831</xdr:rowOff>
    </xdr:to>
    <xdr:sp macro="" textlink="">
      <xdr:nvSpPr>
        <xdr:cNvPr id="7" name="Rechteck 6">
          <a:hlinkClick xmlns:r="http://schemas.openxmlformats.org/officeDocument/2006/relationships" r:id="rId3"/>
        </xdr:cNvPr>
        <xdr:cNvSpPr/>
      </xdr:nvSpPr>
      <xdr:spPr>
        <a:xfrm>
          <a:off x="91981" y="48906"/>
          <a:ext cx="854013" cy="336431"/>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6</xdr:col>
          <xdr:colOff>0</xdr:colOff>
          <xdr:row>21</xdr:row>
          <xdr:rowOff>0</xdr:rowOff>
        </xdr:to>
        <xdr:sp macro="" textlink="">
          <xdr:nvSpPr>
            <xdr:cNvPr id="7169" name="Drop Down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59</xdr:row>
          <xdr:rowOff>0</xdr:rowOff>
        </xdr:from>
        <xdr:to>
          <xdr:col>6</xdr:col>
          <xdr:colOff>0</xdr:colOff>
          <xdr:row>60</xdr:row>
          <xdr:rowOff>0</xdr:rowOff>
        </xdr:to>
        <xdr:sp macro="" textlink="">
          <xdr:nvSpPr>
            <xdr:cNvPr id="7170" name="Drop Down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0</xdr:rowOff>
        </xdr:from>
        <xdr:to>
          <xdr:col>5</xdr:col>
          <xdr:colOff>0</xdr:colOff>
          <xdr:row>48</xdr:row>
          <xdr:rowOff>0</xdr:rowOff>
        </xdr:to>
        <xdr:sp macro="" textlink="">
          <xdr:nvSpPr>
            <xdr:cNvPr id="7175" name="Drop Down 7" hidden="1">
              <a:extLst>
                <a:ext uri="{63B3BB69-23CF-44E3-9099-C40C66FF867C}">
                  <a14:compatExt spid="_x0000_s7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38</xdr:row>
          <xdr:rowOff>0</xdr:rowOff>
        </xdr:from>
        <xdr:to>
          <xdr:col>5</xdr:col>
          <xdr:colOff>771525</xdr:colOff>
          <xdr:row>39</xdr:row>
          <xdr:rowOff>0</xdr:rowOff>
        </xdr:to>
        <xdr:sp macro="" textlink="">
          <xdr:nvSpPr>
            <xdr:cNvPr id="7176" name="Drop Down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41</xdr:row>
          <xdr:rowOff>9525</xdr:rowOff>
        </xdr:from>
        <xdr:to>
          <xdr:col>4</xdr:col>
          <xdr:colOff>0</xdr:colOff>
          <xdr:row>42</xdr:row>
          <xdr:rowOff>0</xdr:rowOff>
        </xdr:to>
        <xdr:sp macro="" textlink="">
          <xdr:nvSpPr>
            <xdr:cNvPr id="7177" name="Drop Down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5</xdr:col>
          <xdr:colOff>0</xdr:colOff>
          <xdr:row>52</xdr:row>
          <xdr:rowOff>0</xdr:rowOff>
        </xdr:to>
        <xdr:sp macro="" textlink="">
          <xdr:nvSpPr>
            <xdr:cNvPr id="7178" name="Drop Down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67</xdr:row>
          <xdr:rowOff>0</xdr:rowOff>
        </xdr:from>
        <xdr:to>
          <xdr:col>5</xdr:col>
          <xdr:colOff>838200</xdr:colOff>
          <xdr:row>68</xdr:row>
          <xdr:rowOff>0</xdr:rowOff>
        </xdr:to>
        <xdr:sp macro="" textlink="">
          <xdr:nvSpPr>
            <xdr:cNvPr id="7179" name="Drop Down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5</xdr:col>
          <xdr:colOff>0</xdr:colOff>
          <xdr:row>72</xdr:row>
          <xdr:rowOff>0</xdr:rowOff>
        </xdr:to>
        <xdr:sp macro="" textlink="">
          <xdr:nvSpPr>
            <xdr:cNvPr id="7180" name="Drop Down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9525</xdr:rowOff>
        </xdr:from>
        <xdr:to>
          <xdr:col>5</xdr:col>
          <xdr:colOff>828675</xdr:colOff>
          <xdr:row>42</xdr:row>
          <xdr:rowOff>0</xdr:rowOff>
        </xdr:to>
        <xdr:sp macro="" textlink="">
          <xdr:nvSpPr>
            <xdr:cNvPr id="7191" name="Drop Down 23" hidden="1">
              <a:extLst>
                <a:ext uri="{63B3BB69-23CF-44E3-9099-C40C66FF867C}">
                  <a14:compatExt spid="_x0000_s7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5</xdr:col>
          <xdr:colOff>0</xdr:colOff>
          <xdr:row>56</xdr:row>
          <xdr:rowOff>0</xdr:rowOff>
        </xdr:to>
        <xdr:sp macro="" textlink="">
          <xdr:nvSpPr>
            <xdr:cNvPr id="7192" name="Drop Down 24" hidden="1">
              <a:extLst>
                <a:ext uri="{63B3BB69-23CF-44E3-9099-C40C66FF867C}">
                  <a14:compatExt spid="_x0000_s7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7</xdr:col>
          <xdr:colOff>0</xdr:colOff>
          <xdr:row>23</xdr:row>
          <xdr:rowOff>0</xdr:rowOff>
        </xdr:to>
        <xdr:sp macro="" textlink="">
          <xdr:nvSpPr>
            <xdr:cNvPr id="7194" name="Drop Down 26" hidden="1">
              <a:extLst>
                <a:ext uri="{63B3BB69-23CF-44E3-9099-C40C66FF867C}">
                  <a14:compatExt spid="_x0000_s7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61</xdr:row>
          <xdr:rowOff>0</xdr:rowOff>
        </xdr:from>
        <xdr:to>
          <xdr:col>8</xdr:col>
          <xdr:colOff>0</xdr:colOff>
          <xdr:row>62</xdr:row>
          <xdr:rowOff>0</xdr:rowOff>
        </xdr:to>
        <xdr:sp macro="" textlink="">
          <xdr:nvSpPr>
            <xdr:cNvPr id="7200" name="Drop Down 32" hidden="1">
              <a:extLst>
                <a:ext uri="{63B3BB69-23CF-44E3-9099-C40C66FF867C}">
                  <a14:compatExt spid="_x0000_s7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581025</xdr:colOff>
          <xdr:row>59</xdr:row>
          <xdr:rowOff>0</xdr:rowOff>
        </xdr:from>
        <xdr:to>
          <xdr:col>10</xdr:col>
          <xdr:colOff>0</xdr:colOff>
          <xdr:row>60</xdr:row>
          <xdr:rowOff>0</xdr:rowOff>
        </xdr:to>
        <xdr:sp macro="" textlink="">
          <xdr:nvSpPr>
            <xdr:cNvPr id="7201" name="Drop Down 33" hidden="1">
              <a:extLst>
                <a:ext uri="{63B3BB69-23CF-44E3-9099-C40C66FF867C}">
                  <a14:compatExt spid="_x0000_s7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63</xdr:row>
          <xdr:rowOff>0</xdr:rowOff>
        </xdr:from>
        <xdr:to>
          <xdr:col>7</xdr:col>
          <xdr:colOff>219075</xdr:colOff>
          <xdr:row>64</xdr:row>
          <xdr:rowOff>0</xdr:rowOff>
        </xdr:to>
        <xdr:sp macro="" textlink="">
          <xdr:nvSpPr>
            <xdr:cNvPr id="7202" name="Drop Down 34" hidden="1">
              <a:extLst>
                <a:ext uri="{63B3BB69-23CF-44E3-9099-C40C66FF867C}">
                  <a14:compatExt spid="_x0000_s7202"/>
                </a:ext>
              </a:extLst>
            </xdr:cNvPr>
            <xdr:cNvSpPr/>
          </xdr:nvSpPr>
          <xdr:spPr>
            <a:xfrm>
              <a:off x="0" y="0"/>
              <a:ext cx="0" cy="0"/>
            </a:xfrm>
            <a:prstGeom prst="rect">
              <a:avLst/>
            </a:prstGeom>
          </xdr:spPr>
        </xdr:sp>
        <xdr:clientData/>
      </xdr:twoCellAnchor>
    </mc:Choice>
    <mc:Fallback/>
  </mc:AlternateContent>
  <xdr:oneCellAnchor>
    <xdr:from>
      <xdr:col>0</xdr:col>
      <xdr:colOff>34504</xdr:colOff>
      <xdr:row>20</xdr:row>
      <xdr:rowOff>0</xdr:rowOff>
    </xdr:from>
    <xdr:ext cx="215661" cy="172529"/>
    <xdr:sp macro="" textlink="">
      <xdr:nvSpPr>
        <xdr:cNvPr id="2" name="Rechteck 1">
          <a:hlinkClick xmlns:r="http://schemas.openxmlformats.org/officeDocument/2006/relationships" r:id="rId4"/>
        </xdr:cNvPr>
        <xdr:cNvSpPr/>
      </xdr:nvSpPr>
      <xdr:spPr>
        <a:xfrm flipH="1">
          <a:off x="34504" y="2786332"/>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11</xdr:row>
      <xdr:rowOff>0</xdr:rowOff>
    </xdr:from>
    <xdr:ext cx="215661" cy="172529"/>
    <xdr:sp macro="" textlink="">
      <xdr:nvSpPr>
        <xdr:cNvPr id="23" name="Rechteck 22">
          <a:hlinkClick xmlns:r="http://schemas.openxmlformats.org/officeDocument/2006/relationships" r:id="rId5"/>
        </xdr:cNvPr>
        <xdr:cNvSpPr/>
      </xdr:nvSpPr>
      <xdr:spPr>
        <a:xfrm flipH="1">
          <a:off x="34506" y="1526875"/>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5</xdr:col>
      <xdr:colOff>622539</xdr:colOff>
      <xdr:row>14</xdr:row>
      <xdr:rowOff>0</xdr:rowOff>
    </xdr:from>
    <xdr:ext cx="215661" cy="172529"/>
    <xdr:sp macro="" textlink="">
      <xdr:nvSpPr>
        <xdr:cNvPr id="24" name="Rechteck 23">
          <a:hlinkClick xmlns:r="http://schemas.openxmlformats.org/officeDocument/2006/relationships" r:id="rId6"/>
        </xdr:cNvPr>
        <xdr:cNvSpPr/>
      </xdr:nvSpPr>
      <xdr:spPr>
        <a:xfrm flipH="1">
          <a:off x="3537189" y="2028825"/>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24</xdr:row>
      <xdr:rowOff>0</xdr:rowOff>
    </xdr:from>
    <xdr:ext cx="215661" cy="172529"/>
    <xdr:sp macro="" textlink="">
      <xdr:nvSpPr>
        <xdr:cNvPr id="25" name="Rechteck 24">
          <a:hlinkClick xmlns:r="http://schemas.openxmlformats.org/officeDocument/2006/relationships" r:id="rId7"/>
        </xdr:cNvPr>
        <xdr:cNvSpPr/>
      </xdr:nvSpPr>
      <xdr:spPr>
        <a:xfrm flipH="1">
          <a:off x="34506" y="3476445"/>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22</xdr:row>
      <xdr:rowOff>0</xdr:rowOff>
    </xdr:from>
    <xdr:ext cx="215661" cy="172529"/>
    <xdr:sp macro="" textlink="">
      <xdr:nvSpPr>
        <xdr:cNvPr id="26" name="Rechteck 25">
          <a:hlinkClick xmlns:r="http://schemas.openxmlformats.org/officeDocument/2006/relationships" r:id="rId8"/>
        </xdr:cNvPr>
        <xdr:cNvSpPr/>
      </xdr:nvSpPr>
      <xdr:spPr>
        <a:xfrm flipH="1">
          <a:off x="34506" y="3131389"/>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34</xdr:row>
      <xdr:rowOff>0</xdr:rowOff>
    </xdr:from>
    <xdr:ext cx="215661" cy="172529"/>
    <xdr:sp macro="" textlink="">
      <xdr:nvSpPr>
        <xdr:cNvPr id="28" name="Rechteck 27">
          <a:hlinkClick xmlns:r="http://schemas.openxmlformats.org/officeDocument/2006/relationships" r:id="rId9"/>
        </xdr:cNvPr>
        <xdr:cNvSpPr/>
      </xdr:nvSpPr>
      <xdr:spPr>
        <a:xfrm flipH="1">
          <a:off x="34506" y="5201728"/>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0</xdr:col>
      <xdr:colOff>34505</xdr:colOff>
      <xdr:row>35</xdr:row>
      <xdr:rowOff>172527</xdr:rowOff>
    </xdr:from>
    <xdr:ext cx="215661" cy="172529"/>
    <xdr:sp macro="" textlink="">
      <xdr:nvSpPr>
        <xdr:cNvPr id="29" name="Rechteck 28">
          <a:hlinkClick xmlns:r="http://schemas.openxmlformats.org/officeDocument/2006/relationships" r:id="rId10"/>
        </xdr:cNvPr>
        <xdr:cNvSpPr/>
      </xdr:nvSpPr>
      <xdr:spPr>
        <a:xfrm flipH="1">
          <a:off x="34505" y="5546784"/>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43</xdr:row>
      <xdr:rowOff>0</xdr:rowOff>
    </xdr:from>
    <xdr:ext cx="215661" cy="172529"/>
    <xdr:sp macro="" textlink="">
      <xdr:nvSpPr>
        <xdr:cNvPr id="32" name="Rechteck 31">
          <a:hlinkClick xmlns:r="http://schemas.openxmlformats.org/officeDocument/2006/relationships" r:id="rId11"/>
        </xdr:cNvPr>
        <xdr:cNvSpPr/>
      </xdr:nvSpPr>
      <xdr:spPr>
        <a:xfrm flipH="1">
          <a:off x="34506" y="6754483"/>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0</xdr:col>
      <xdr:colOff>34505</xdr:colOff>
      <xdr:row>57</xdr:row>
      <xdr:rowOff>0</xdr:rowOff>
    </xdr:from>
    <xdr:ext cx="215661" cy="172529"/>
    <xdr:sp macro="" textlink="">
      <xdr:nvSpPr>
        <xdr:cNvPr id="35" name="Rechteck 34">
          <a:hlinkClick xmlns:r="http://schemas.openxmlformats.org/officeDocument/2006/relationships" r:id="rId12"/>
        </xdr:cNvPr>
        <xdr:cNvSpPr/>
      </xdr:nvSpPr>
      <xdr:spPr>
        <a:xfrm flipH="1">
          <a:off x="34505" y="9169879"/>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65</xdr:row>
      <xdr:rowOff>0</xdr:rowOff>
    </xdr:from>
    <xdr:ext cx="215661" cy="172529"/>
    <xdr:sp macro="" textlink="">
      <xdr:nvSpPr>
        <xdr:cNvPr id="38" name="Rechteck 37">
          <a:hlinkClick xmlns:r="http://schemas.openxmlformats.org/officeDocument/2006/relationships" r:id="rId13"/>
        </xdr:cNvPr>
        <xdr:cNvSpPr/>
      </xdr:nvSpPr>
      <xdr:spPr>
        <a:xfrm flipH="1">
          <a:off x="34506" y="10550106"/>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8</xdr:col>
      <xdr:colOff>622539</xdr:colOff>
      <xdr:row>3</xdr:row>
      <xdr:rowOff>0</xdr:rowOff>
    </xdr:from>
    <xdr:ext cx="215661" cy="181155"/>
    <xdr:sp macro="" textlink="">
      <xdr:nvSpPr>
        <xdr:cNvPr id="40" name="Rechteck 39">
          <a:hlinkClick xmlns:r="http://schemas.openxmlformats.org/officeDocument/2006/relationships" r:id="rId6"/>
        </xdr:cNvPr>
        <xdr:cNvSpPr/>
      </xdr:nvSpPr>
      <xdr:spPr>
        <a:xfrm flipH="1">
          <a:off x="6242289" y="647700"/>
          <a:ext cx="215661" cy="181155"/>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3</xdr:col>
      <xdr:colOff>69136</xdr:colOff>
      <xdr:row>1</xdr:row>
      <xdr:rowOff>25876</xdr:rowOff>
    </xdr:from>
    <xdr:to>
      <xdr:col>4</xdr:col>
      <xdr:colOff>26001</xdr:colOff>
      <xdr:row>1</xdr:row>
      <xdr:rowOff>353680</xdr:rowOff>
    </xdr:to>
    <xdr:sp macro="" textlink="">
      <xdr:nvSpPr>
        <xdr:cNvPr id="2" name="Rechteck 1">
          <a:hlinkClick xmlns:r="http://schemas.openxmlformats.org/officeDocument/2006/relationships" r:id="rId1"/>
        </xdr:cNvPr>
        <xdr:cNvSpPr/>
      </xdr:nvSpPr>
      <xdr:spPr>
        <a:xfrm>
          <a:off x="1035294" y="69008"/>
          <a:ext cx="854013" cy="327804"/>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Ackerbau</a:t>
          </a:r>
        </a:p>
      </xdr:txBody>
    </xdr:sp>
    <xdr:clientData/>
  </xdr:twoCellAnchor>
  <xdr:twoCellAnchor>
    <xdr:from>
      <xdr:col>2</xdr:col>
      <xdr:colOff>22971</xdr:colOff>
      <xdr:row>1</xdr:row>
      <xdr:rowOff>23001</xdr:rowOff>
    </xdr:from>
    <xdr:to>
      <xdr:col>2</xdr:col>
      <xdr:colOff>876984</xdr:colOff>
      <xdr:row>1</xdr:row>
      <xdr:rowOff>350805</xdr:rowOff>
    </xdr:to>
    <xdr:sp macro="" textlink="">
      <xdr:nvSpPr>
        <xdr:cNvPr id="3" name="Rechteck 2">
          <a:hlinkClick xmlns:r="http://schemas.openxmlformats.org/officeDocument/2006/relationships" r:id="rId2"/>
        </xdr:cNvPr>
        <xdr:cNvSpPr/>
      </xdr:nvSpPr>
      <xdr:spPr>
        <a:xfrm>
          <a:off x="91982" y="66133"/>
          <a:ext cx="854013" cy="327804"/>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oneCellAnchor>
    <xdr:from>
      <xdr:col>1</xdr:col>
      <xdr:colOff>0</xdr:colOff>
      <xdr:row>40</xdr:row>
      <xdr:rowOff>0</xdr:rowOff>
    </xdr:from>
    <xdr:ext cx="215661" cy="172529"/>
    <xdr:sp macro="" textlink="">
      <xdr:nvSpPr>
        <xdr:cNvPr id="4" name="Rechteck 3">
          <a:hlinkClick xmlns:r="http://schemas.openxmlformats.org/officeDocument/2006/relationships" r:id="rId3"/>
        </xdr:cNvPr>
        <xdr:cNvSpPr/>
      </xdr:nvSpPr>
      <xdr:spPr>
        <a:xfrm flipH="1">
          <a:off x="25879" y="6228272"/>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41</xdr:row>
      <xdr:rowOff>0</xdr:rowOff>
    </xdr:from>
    <xdr:ext cx="215661" cy="172529"/>
    <xdr:sp macro="" textlink="">
      <xdr:nvSpPr>
        <xdr:cNvPr id="5" name="Rechteck 4">
          <a:hlinkClick xmlns:r="http://schemas.openxmlformats.org/officeDocument/2006/relationships" r:id="rId4"/>
        </xdr:cNvPr>
        <xdr:cNvSpPr/>
      </xdr:nvSpPr>
      <xdr:spPr>
        <a:xfrm flipH="1">
          <a:off x="25879" y="6409426"/>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63</xdr:row>
      <xdr:rowOff>0</xdr:rowOff>
    </xdr:from>
    <xdr:ext cx="215661" cy="172529"/>
    <xdr:sp macro="" textlink="">
      <xdr:nvSpPr>
        <xdr:cNvPr id="6" name="Rechteck 5">
          <a:hlinkClick xmlns:r="http://schemas.openxmlformats.org/officeDocument/2006/relationships" r:id="rId5"/>
        </xdr:cNvPr>
        <xdr:cNvSpPr/>
      </xdr:nvSpPr>
      <xdr:spPr>
        <a:xfrm flipH="1">
          <a:off x="25879" y="10403457"/>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65</xdr:row>
      <xdr:rowOff>0</xdr:rowOff>
    </xdr:from>
    <xdr:ext cx="215661" cy="172529"/>
    <xdr:sp macro="" textlink="">
      <xdr:nvSpPr>
        <xdr:cNvPr id="7" name="Rechteck 6">
          <a:hlinkClick xmlns:r="http://schemas.openxmlformats.org/officeDocument/2006/relationships" r:id="rId6"/>
        </xdr:cNvPr>
        <xdr:cNvSpPr/>
      </xdr:nvSpPr>
      <xdr:spPr>
        <a:xfrm flipH="1">
          <a:off x="25879" y="10800272"/>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77</xdr:row>
      <xdr:rowOff>0</xdr:rowOff>
    </xdr:from>
    <xdr:ext cx="215661" cy="172529"/>
    <xdr:sp macro="" textlink="">
      <xdr:nvSpPr>
        <xdr:cNvPr id="8" name="Rechteck 7">
          <a:hlinkClick xmlns:r="http://schemas.openxmlformats.org/officeDocument/2006/relationships" r:id="rId7"/>
        </xdr:cNvPr>
        <xdr:cNvSpPr/>
      </xdr:nvSpPr>
      <xdr:spPr>
        <a:xfrm flipH="1">
          <a:off x="25879" y="12922370"/>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35</xdr:row>
      <xdr:rowOff>0</xdr:rowOff>
    </xdr:from>
    <xdr:ext cx="215661" cy="172529"/>
    <xdr:sp macro="" textlink="">
      <xdr:nvSpPr>
        <xdr:cNvPr id="9" name="Rechteck 8">
          <a:hlinkClick xmlns:r="http://schemas.openxmlformats.org/officeDocument/2006/relationships" r:id="rId4"/>
        </xdr:cNvPr>
        <xdr:cNvSpPr/>
      </xdr:nvSpPr>
      <xdr:spPr>
        <a:xfrm flipH="1">
          <a:off x="25879" y="5365630"/>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45</xdr:row>
      <xdr:rowOff>0</xdr:rowOff>
    </xdr:from>
    <xdr:ext cx="215661" cy="172529"/>
    <xdr:sp macro="" textlink="">
      <xdr:nvSpPr>
        <xdr:cNvPr id="10" name="Rechteck 9">
          <a:hlinkClick xmlns:r="http://schemas.openxmlformats.org/officeDocument/2006/relationships" r:id="rId8"/>
        </xdr:cNvPr>
        <xdr:cNvSpPr/>
      </xdr:nvSpPr>
      <xdr:spPr>
        <a:xfrm flipH="1">
          <a:off x="25879" y="7125419"/>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4</xdr:col>
      <xdr:colOff>69136</xdr:colOff>
      <xdr:row>1</xdr:row>
      <xdr:rowOff>25876</xdr:rowOff>
    </xdr:from>
    <xdr:to>
      <xdr:col>5</xdr:col>
      <xdr:colOff>26001</xdr:colOff>
      <xdr:row>1</xdr:row>
      <xdr:rowOff>353680</xdr:rowOff>
    </xdr:to>
    <xdr:sp macro="" textlink="">
      <xdr:nvSpPr>
        <xdr:cNvPr id="2" name="Rechteck 1">
          <a:hlinkClick xmlns:r="http://schemas.openxmlformats.org/officeDocument/2006/relationships" r:id="rId1"/>
        </xdr:cNvPr>
        <xdr:cNvSpPr/>
      </xdr:nvSpPr>
      <xdr:spPr>
        <a:xfrm>
          <a:off x="1501121" y="69008"/>
          <a:ext cx="854012" cy="327804"/>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Ackerbau</a:t>
          </a:r>
        </a:p>
      </xdr:txBody>
    </xdr:sp>
    <xdr:clientData/>
  </xdr:twoCellAnchor>
  <xdr:twoCellAnchor>
    <xdr:from>
      <xdr:col>3</xdr:col>
      <xdr:colOff>22971</xdr:colOff>
      <xdr:row>1</xdr:row>
      <xdr:rowOff>23001</xdr:rowOff>
    </xdr:from>
    <xdr:to>
      <xdr:col>3</xdr:col>
      <xdr:colOff>876984</xdr:colOff>
      <xdr:row>1</xdr:row>
      <xdr:rowOff>350805</xdr:rowOff>
    </xdr:to>
    <xdr:sp macro="" textlink="">
      <xdr:nvSpPr>
        <xdr:cNvPr id="3" name="Rechteck 2">
          <a:hlinkClick xmlns:r="http://schemas.openxmlformats.org/officeDocument/2006/relationships" r:id="rId2"/>
        </xdr:cNvPr>
        <xdr:cNvSpPr/>
      </xdr:nvSpPr>
      <xdr:spPr>
        <a:xfrm>
          <a:off x="557809" y="66133"/>
          <a:ext cx="854013" cy="327804"/>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552094</xdr:colOff>
      <xdr:row>1</xdr:row>
      <xdr:rowOff>8625</xdr:rowOff>
    </xdr:from>
    <xdr:to>
      <xdr:col>7</xdr:col>
      <xdr:colOff>838199</xdr:colOff>
      <xdr:row>1</xdr:row>
      <xdr:rowOff>353682</xdr:rowOff>
    </xdr:to>
    <xdr:sp macro="" textlink="">
      <xdr:nvSpPr>
        <xdr:cNvPr id="4" name="Rechteck 3">
          <a:hlinkClick xmlns:r="http://schemas.openxmlformats.org/officeDocument/2006/relationships" r:id="rId1"/>
        </xdr:cNvPr>
        <xdr:cNvSpPr/>
      </xdr:nvSpPr>
      <xdr:spPr>
        <a:xfrm>
          <a:off x="4228744" y="37200"/>
          <a:ext cx="1124305" cy="345057"/>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Stickstoff</a:t>
          </a:r>
        </a:p>
      </xdr:txBody>
    </xdr:sp>
    <xdr:clientData/>
  </xdr:twoCellAnchor>
  <xdr:twoCellAnchor>
    <xdr:from>
      <xdr:col>7</xdr:col>
      <xdr:colOff>933451</xdr:colOff>
      <xdr:row>1</xdr:row>
      <xdr:rowOff>5756</xdr:rowOff>
    </xdr:from>
    <xdr:to>
      <xdr:col>9</xdr:col>
      <xdr:colOff>888523</xdr:colOff>
      <xdr:row>1</xdr:row>
      <xdr:rowOff>350813</xdr:rowOff>
    </xdr:to>
    <xdr:sp macro="" textlink="">
      <xdr:nvSpPr>
        <xdr:cNvPr id="5" name="Rechteck 4">
          <a:hlinkClick xmlns:r="http://schemas.openxmlformats.org/officeDocument/2006/relationships" r:id="rId2"/>
        </xdr:cNvPr>
        <xdr:cNvSpPr/>
      </xdr:nvSpPr>
      <xdr:spPr>
        <a:xfrm>
          <a:off x="5448301" y="34331"/>
          <a:ext cx="2107722" cy="345057"/>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Phosphat, Kali, Magnesiumoxid u. Kalk</a:t>
          </a:r>
        </a:p>
      </xdr:txBody>
    </xdr:sp>
    <xdr:clientData/>
  </xdr:twoCellAnchor>
  <xdr:twoCellAnchor>
    <xdr:from>
      <xdr:col>2</xdr:col>
      <xdr:colOff>31596</xdr:colOff>
      <xdr:row>1</xdr:row>
      <xdr:rowOff>14376</xdr:rowOff>
    </xdr:from>
    <xdr:to>
      <xdr:col>2</xdr:col>
      <xdr:colOff>885609</xdr:colOff>
      <xdr:row>1</xdr:row>
      <xdr:rowOff>359433</xdr:rowOff>
    </xdr:to>
    <xdr:sp macro="" textlink="">
      <xdr:nvSpPr>
        <xdr:cNvPr id="6" name="Rechteck 5">
          <a:hlinkClick xmlns:r="http://schemas.openxmlformats.org/officeDocument/2006/relationships" r:id="rId3"/>
        </xdr:cNvPr>
        <xdr:cNvSpPr/>
      </xdr:nvSpPr>
      <xdr:spPr>
        <a:xfrm>
          <a:off x="281762" y="48882"/>
          <a:ext cx="854013" cy="345057"/>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6</xdr:col>
          <xdr:colOff>0</xdr:colOff>
          <xdr:row>21</xdr:row>
          <xdr:rowOff>0</xdr:rowOff>
        </xdr:to>
        <xdr:sp macro="" textlink="">
          <xdr:nvSpPr>
            <xdr:cNvPr id="422913" name="Drop Down 1" hidden="1">
              <a:extLst>
                <a:ext uri="{63B3BB69-23CF-44E3-9099-C40C66FF867C}">
                  <a14:compatExt spid="_x0000_s422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42</xdr:row>
          <xdr:rowOff>0</xdr:rowOff>
        </xdr:from>
        <xdr:to>
          <xdr:col>9</xdr:col>
          <xdr:colOff>171450</xdr:colOff>
          <xdr:row>43</xdr:row>
          <xdr:rowOff>0</xdr:rowOff>
        </xdr:to>
        <xdr:sp macro="" textlink="">
          <xdr:nvSpPr>
            <xdr:cNvPr id="422914" name="Drop Down 2" hidden="1">
              <a:extLst>
                <a:ext uri="{63B3BB69-23CF-44E3-9099-C40C66FF867C}">
                  <a14:compatExt spid="_x0000_s422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0</xdr:colOff>
          <xdr:row>47</xdr:row>
          <xdr:rowOff>0</xdr:rowOff>
        </xdr:to>
        <xdr:sp macro="" textlink="">
          <xdr:nvSpPr>
            <xdr:cNvPr id="422915" name="Drop Down 3" hidden="1">
              <a:extLst>
                <a:ext uri="{63B3BB69-23CF-44E3-9099-C40C66FF867C}">
                  <a14:compatExt spid="_x0000_s422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5</xdr:col>
          <xdr:colOff>0</xdr:colOff>
          <xdr:row>52</xdr:row>
          <xdr:rowOff>0</xdr:rowOff>
        </xdr:to>
        <xdr:sp macro="" textlink="">
          <xdr:nvSpPr>
            <xdr:cNvPr id="422916" name="Drop Down 4" hidden="1">
              <a:extLst>
                <a:ext uri="{63B3BB69-23CF-44E3-9099-C40C66FF867C}">
                  <a14:compatExt spid="_x0000_s422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6</xdr:col>
          <xdr:colOff>0</xdr:colOff>
          <xdr:row>23</xdr:row>
          <xdr:rowOff>0</xdr:rowOff>
        </xdr:to>
        <xdr:sp macro="" textlink="">
          <xdr:nvSpPr>
            <xdr:cNvPr id="422917" name="Drop Down 5" hidden="1">
              <a:extLst>
                <a:ext uri="{63B3BB69-23CF-44E3-9099-C40C66FF867C}">
                  <a14:compatExt spid="_x0000_s422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5</xdr:col>
          <xdr:colOff>0</xdr:colOff>
          <xdr:row>47</xdr:row>
          <xdr:rowOff>0</xdr:rowOff>
        </xdr:to>
        <xdr:sp macro="" textlink="">
          <xdr:nvSpPr>
            <xdr:cNvPr id="422918" name="Drop Down 6" hidden="1">
              <a:extLst>
                <a:ext uri="{63B3BB69-23CF-44E3-9099-C40C66FF867C}">
                  <a14:compatExt spid="_x0000_s422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5</xdr:col>
          <xdr:colOff>0</xdr:colOff>
          <xdr:row>54</xdr:row>
          <xdr:rowOff>0</xdr:rowOff>
        </xdr:to>
        <xdr:sp macro="" textlink="">
          <xdr:nvSpPr>
            <xdr:cNvPr id="422919" name="Drop Down 7" hidden="1">
              <a:extLst>
                <a:ext uri="{63B3BB69-23CF-44E3-9099-C40C66FF867C}">
                  <a14:compatExt spid="_x0000_s422919"/>
                </a:ext>
              </a:extLst>
            </xdr:cNvPr>
            <xdr:cNvSpPr/>
          </xdr:nvSpPr>
          <xdr:spPr>
            <a:xfrm>
              <a:off x="0" y="0"/>
              <a:ext cx="0" cy="0"/>
            </a:xfrm>
            <a:prstGeom prst="rect">
              <a:avLst/>
            </a:prstGeom>
          </xdr:spPr>
        </xdr:sp>
        <xdr:clientData/>
      </xdr:twoCellAnchor>
    </mc:Choice>
    <mc:Fallback/>
  </mc:AlternateContent>
  <xdr:oneCellAnchor>
    <xdr:from>
      <xdr:col>1</xdr:col>
      <xdr:colOff>0</xdr:colOff>
      <xdr:row>11</xdr:row>
      <xdr:rowOff>0</xdr:rowOff>
    </xdr:from>
    <xdr:ext cx="215661" cy="172529"/>
    <xdr:sp macro="" textlink="">
      <xdr:nvSpPr>
        <xdr:cNvPr id="13" name="Rechteck 12">
          <a:hlinkClick xmlns:r="http://schemas.openxmlformats.org/officeDocument/2006/relationships" r:id="rId4"/>
        </xdr:cNvPr>
        <xdr:cNvSpPr/>
      </xdr:nvSpPr>
      <xdr:spPr>
        <a:xfrm flipH="1">
          <a:off x="34506" y="1492370"/>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20</xdr:row>
      <xdr:rowOff>0</xdr:rowOff>
    </xdr:from>
    <xdr:ext cx="215661" cy="172529"/>
    <xdr:sp macro="" textlink="">
      <xdr:nvSpPr>
        <xdr:cNvPr id="15" name="Rechteck 14">
          <a:hlinkClick xmlns:r="http://schemas.openxmlformats.org/officeDocument/2006/relationships" r:id="rId5"/>
        </xdr:cNvPr>
        <xdr:cNvSpPr/>
      </xdr:nvSpPr>
      <xdr:spPr>
        <a:xfrm flipH="1">
          <a:off x="34506" y="2751826"/>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24</xdr:row>
      <xdr:rowOff>0</xdr:rowOff>
    </xdr:from>
    <xdr:ext cx="215661" cy="172529"/>
    <xdr:sp macro="" textlink="">
      <xdr:nvSpPr>
        <xdr:cNvPr id="17" name="Rechteck 16">
          <a:hlinkClick xmlns:r="http://schemas.openxmlformats.org/officeDocument/2006/relationships" r:id="rId5"/>
        </xdr:cNvPr>
        <xdr:cNvSpPr/>
      </xdr:nvSpPr>
      <xdr:spPr>
        <a:xfrm flipH="1">
          <a:off x="34506" y="3441940"/>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32</xdr:row>
      <xdr:rowOff>0</xdr:rowOff>
    </xdr:from>
    <xdr:ext cx="215661" cy="172529"/>
    <xdr:sp macro="" textlink="">
      <xdr:nvSpPr>
        <xdr:cNvPr id="18" name="Rechteck 17">
          <a:hlinkClick xmlns:r="http://schemas.openxmlformats.org/officeDocument/2006/relationships" r:id="rId6"/>
        </xdr:cNvPr>
        <xdr:cNvSpPr/>
      </xdr:nvSpPr>
      <xdr:spPr>
        <a:xfrm flipH="1">
          <a:off x="34506" y="4822166"/>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40</xdr:row>
      <xdr:rowOff>0</xdr:rowOff>
    </xdr:from>
    <xdr:ext cx="215661" cy="172529"/>
    <xdr:sp macro="" textlink="">
      <xdr:nvSpPr>
        <xdr:cNvPr id="19" name="Rechteck 18">
          <a:hlinkClick xmlns:r="http://schemas.openxmlformats.org/officeDocument/2006/relationships" r:id="rId7"/>
        </xdr:cNvPr>
        <xdr:cNvSpPr/>
      </xdr:nvSpPr>
      <xdr:spPr>
        <a:xfrm flipH="1">
          <a:off x="34506" y="6202392"/>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48</xdr:row>
      <xdr:rowOff>0</xdr:rowOff>
    </xdr:from>
    <xdr:ext cx="215661" cy="172529"/>
    <xdr:sp macro="" textlink="">
      <xdr:nvSpPr>
        <xdr:cNvPr id="20" name="Rechteck 19">
          <a:hlinkClick xmlns:r="http://schemas.openxmlformats.org/officeDocument/2006/relationships" r:id="rId8"/>
        </xdr:cNvPr>
        <xdr:cNvSpPr/>
      </xdr:nvSpPr>
      <xdr:spPr>
        <a:xfrm flipH="1">
          <a:off x="34506" y="7461849"/>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22</xdr:row>
      <xdr:rowOff>0</xdr:rowOff>
    </xdr:from>
    <xdr:ext cx="215661" cy="172529"/>
    <xdr:sp macro="" textlink="">
      <xdr:nvSpPr>
        <xdr:cNvPr id="21" name="Rechteck 20">
          <a:hlinkClick xmlns:r="http://schemas.openxmlformats.org/officeDocument/2006/relationships" r:id="rId9"/>
        </xdr:cNvPr>
        <xdr:cNvSpPr/>
      </xdr:nvSpPr>
      <xdr:spPr>
        <a:xfrm flipH="1">
          <a:off x="34506" y="3096883"/>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8</xdr:col>
      <xdr:colOff>622539</xdr:colOff>
      <xdr:row>3</xdr:row>
      <xdr:rowOff>0</xdr:rowOff>
    </xdr:from>
    <xdr:ext cx="215661" cy="172529"/>
    <xdr:sp macro="" textlink="">
      <xdr:nvSpPr>
        <xdr:cNvPr id="23" name="Rechteck 22">
          <a:hlinkClick xmlns:r="http://schemas.openxmlformats.org/officeDocument/2006/relationships" r:id="rId8"/>
        </xdr:cNvPr>
        <xdr:cNvSpPr/>
      </xdr:nvSpPr>
      <xdr:spPr>
        <a:xfrm flipH="1">
          <a:off x="5975589" y="638175"/>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48</xdr:row>
      <xdr:rowOff>0</xdr:rowOff>
    </xdr:from>
    <xdr:ext cx="215661" cy="172529"/>
    <xdr:sp macro="" textlink="">
      <xdr:nvSpPr>
        <xdr:cNvPr id="22" name="Rechteck 21">
          <a:hlinkClick xmlns:r="http://schemas.openxmlformats.org/officeDocument/2006/relationships" r:id="rId10"/>
        </xdr:cNvPr>
        <xdr:cNvSpPr/>
      </xdr:nvSpPr>
      <xdr:spPr>
        <a:xfrm flipH="1">
          <a:off x="38100" y="6724650"/>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twoCellAnchor>
    <xdr:from>
      <xdr:col>4</xdr:col>
      <xdr:colOff>161925</xdr:colOff>
      <xdr:row>23</xdr:row>
      <xdr:rowOff>161925</xdr:rowOff>
    </xdr:from>
    <xdr:to>
      <xdr:col>8</xdr:col>
      <xdr:colOff>428624</xdr:colOff>
      <xdr:row>35</xdr:row>
      <xdr:rowOff>57151</xdr:rowOff>
    </xdr:to>
    <xdr:sp macro="" textlink="Hinweise!$D$5">
      <xdr:nvSpPr>
        <xdr:cNvPr id="24" name="Textfeld 23"/>
        <xdr:cNvSpPr txBox="1"/>
      </xdr:nvSpPr>
      <xdr:spPr>
        <a:xfrm>
          <a:off x="2162175" y="3390900"/>
          <a:ext cx="3619499" cy="1952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FE199CD6-5A42-4FDE-BA00-4B8E29DFF38E}" type="TxLink">
            <a:rPr lang="en-US" sz="1200" b="1" i="0" u="none" strike="noStrike">
              <a:solidFill>
                <a:srgbClr val="FF0000"/>
              </a:solidFill>
              <a:latin typeface="Arial"/>
              <a:cs typeface="Arial"/>
            </a:rPr>
            <a:pPr algn="ctr"/>
            <a:t> </a:t>
          </a:fld>
          <a:endParaRPr lang="de-DE"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86391</xdr:colOff>
      <xdr:row>1</xdr:row>
      <xdr:rowOff>25876</xdr:rowOff>
    </xdr:from>
    <xdr:to>
      <xdr:col>4</xdr:col>
      <xdr:colOff>43257</xdr:colOff>
      <xdr:row>1</xdr:row>
      <xdr:rowOff>353681</xdr:rowOff>
    </xdr:to>
    <xdr:sp macro="" textlink="">
      <xdr:nvSpPr>
        <xdr:cNvPr id="2" name="Rechteck 1">
          <a:hlinkClick xmlns:r="http://schemas.openxmlformats.org/officeDocument/2006/relationships" r:id="rId1"/>
        </xdr:cNvPr>
        <xdr:cNvSpPr/>
      </xdr:nvSpPr>
      <xdr:spPr>
        <a:xfrm>
          <a:off x="1233704" y="60382"/>
          <a:ext cx="854013" cy="327805"/>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Grünland</a:t>
          </a:r>
        </a:p>
      </xdr:txBody>
    </xdr:sp>
    <xdr:clientData/>
  </xdr:twoCellAnchor>
  <xdr:twoCellAnchor>
    <xdr:from>
      <xdr:col>2</xdr:col>
      <xdr:colOff>22969</xdr:colOff>
      <xdr:row>1</xdr:row>
      <xdr:rowOff>23001</xdr:rowOff>
    </xdr:from>
    <xdr:to>
      <xdr:col>2</xdr:col>
      <xdr:colOff>876982</xdr:colOff>
      <xdr:row>1</xdr:row>
      <xdr:rowOff>350806</xdr:rowOff>
    </xdr:to>
    <xdr:sp macro="" textlink="">
      <xdr:nvSpPr>
        <xdr:cNvPr id="3" name="Rechteck 2">
          <a:hlinkClick xmlns:r="http://schemas.openxmlformats.org/officeDocument/2006/relationships" r:id="rId2"/>
        </xdr:cNvPr>
        <xdr:cNvSpPr/>
      </xdr:nvSpPr>
      <xdr:spPr>
        <a:xfrm>
          <a:off x="273135" y="57507"/>
          <a:ext cx="854013" cy="327805"/>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oneCellAnchor>
    <xdr:from>
      <xdr:col>1</xdr:col>
      <xdr:colOff>0</xdr:colOff>
      <xdr:row>33</xdr:row>
      <xdr:rowOff>0</xdr:rowOff>
    </xdr:from>
    <xdr:ext cx="215661" cy="172529"/>
    <xdr:sp macro="" textlink="">
      <xdr:nvSpPr>
        <xdr:cNvPr id="4" name="Rechteck 3">
          <a:hlinkClick xmlns:r="http://schemas.openxmlformats.org/officeDocument/2006/relationships" r:id="rId3"/>
        </xdr:cNvPr>
        <xdr:cNvSpPr/>
      </xdr:nvSpPr>
      <xdr:spPr>
        <a:xfrm flipH="1">
          <a:off x="25879" y="4839419"/>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46</xdr:row>
      <xdr:rowOff>0</xdr:rowOff>
    </xdr:from>
    <xdr:ext cx="215661" cy="172529"/>
    <xdr:sp macro="" textlink="">
      <xdr:nvSpPr>
        <xdr:cNvPr id="5" name="Rechteck 4">
          <a:hlinkClick xmlns:r="http://schemas.openxmlformats.org/officeDocument/2006/relationships" r:id="rId4"/>
        </xdr:cNvPr>
        <xdr:cNvSpPr/>
      </xdr:nvSpPr>
      <xdr:spPr>
        <a:xfrm flipH="1">
          <a:off x="25879" y="7090913"/>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47</xdr:row>
      <xdr:rowOff>0</xdr:rowOff>
    </xdr:from>
    <xdr:ext cx="215661" cy="172529"/>
    <xdr:sp macro="" textlink="">
      <xdr:nvSpPr>
        <xdr:cNvPr id="6" name="Rechteck 5">
          <a:hlinkClick xmlns:r="http://schemas.openxmlformats.org/officeDocument/2006/relationships" r:id="rId5"/>
        </xdr:cNvPr>
        <xdr:cNvSpPr/>
      </xdr:nvSpPr>
      <xdr:spPr>
        <a:xfrm flipH="1">
          <a:off x="25879" y="7272068"/>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58</xdr:row>
      <xdr:rowOff>0</xdr:rowOff>
    </xdr:from>
    <xdr:ext cx="215661" cy="172529"/>
    <xdr:sp macro="" textlink="">
      <xdr:nvSpPr>
        <xdr:cNvPr id="7" name="Rechteck 6">
          <a:hlinkClick xmlns:r="http://schemas.openxmlformats.org/officeDocument/2006/relationships" r:id="rId6"/>
        </xdr:cNvPr>
        <xdr:cNvSpPr/>
      </xdr:nvSpPr>
      <xdr:spPr>
        <a:xfrm flipH="1">
          <a:off x="25879" y="9187132"/>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4</xdr:col>
      <xdr:colOff>86391</xdr:colOff>
      <xdr:row>1</xdr:row>
      <xdr:rowOff>25876</xdr:rowOff>
    </xdr:from>
    <xdr:to>
      <xdr:col>5</xdr:col>
      <xdr:colOff>43257</xdr:colOff>
      <xdr:row>1</xdr:row>
      <xdr:rowOff>353681</xdr:rowOff>
    </xdr:to>
    <xdr:sp macro="" textlink="">
      <xdr:nvSpPr>
        <xdr:cNvPr id="2" name="Rechteck 1">
          <a:hlinkClick xmlns:r="http://schemas.openxmlformats.org/officeDocument/2006/relationships" r:id="rId1"/>
        </xdr:cNvPr>
        <xdr:cNvSpPr/>
      </xdr:nvSpPr>
      <xdr:spPr>
        <a:xfrm>
          <a:off x="1345848" y="60382"/>
          <a:ext cx="854013" cy="327805"/>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Eingabe Grünland</a:t>
          </a:r>
        </a:p>
      </xdr:txBody>
    </xdr:sp>
    <xdr:clientData/>
  </xdr:twoCellAnchor>
  <xdr:twoCellAnchor>
    <xdr:from>
      <xdr:col>3</xdr:col>
      <xdr:colOff>22969</xdr:colOff>
      <xdr:row>1</xdr:row>
      <xdr:rowOff>23001</xdr:rowOff>
    </xdr:from>
    <xdr:to>
      <xdr:col>3</xdr:col>
      <xdr:colOff>876982</xdr:colOff>
      <xdr:row>1</xdr:row>
      <xdr:rowOff>350806</xdr:rowOff>
    </xdr:to>
    <xdr:sp macro="" textlink="">
      <xdr:nvSpPr>
        <xdr:cNvPr id="3" name="Rechteck 2">
          <a:hlinkClick xmlns:r="http://schemas.openxmlformats.org/officeDocument/2006/relationships" r:id="rId2"/>
        </xdr:cNvPr>
        <xdr:cNvSpPr/>
      </xdr:nvSpPr>
      <xdr:spPr>
        <a:xfrm>
          <a:off x="385278" y="57507"/>
          <a:ext cx="854013" cy="327805"/>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28575</xdr:colOff>
      <xdr:row>22</xdr:row>
      <xdr:rowOff>28575</xdr:rowOff>
    </xdr:from>
    <xdr:to>
      <xdr:col>10</xdr:col>
      <xdr:colOff>161924</xdr:colOff>
      <xdr:row>30</xdr:row>
      <xdr:rowOff>123825</xdr:rowOff>
    </xdr:to>
    <xdr:sp macro="" textlink="Hinweise!$D$5">
      <xdr:nvSpPr>
        <xdr:cNvPr id="30" name="Textfeld 29"/>
        <xdr:cNvSpPr txBox="1"/>
      </xdr:nvSpPr>
      <xdr:spPr>
        <a:xfrm>
          <a:off x="3781425" y="3248025"/>
          <a:ext cx="3524249" cy="1466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fld id="{5E64BB9F-577C-4025-95B6-5497F680F4D5}" type="TxLink">
            <a:rPr lang="en-US" sz="1200" b="1" i="0" u="none" strike="noStrike">
              <a:solidFill>
                <a:srgbClr val="FF0000"/>
              </a:solidFill>
              <a:latin typeface="Arial"/>
              <a:cs typeface="Arial"/>
            </a:rPr>
            <a:pPr algn="ctr"/>
            <a:t> </a:t>
          </a:fld>
          <a:endParaRPr lang="de-DE" sz="1400"/>
        </a:p>
      </xdr:txBody>
    </xdr:sp>
    <xdr:clientData/>
  </xdr:twoCellAnchor>
  <xdr:twoCellAnchor>
    <xdr:from>
      <xdr:col>6</xdr:col>
      <xdr:colOff>491711</xdr:colOff>
      <xdr:row>1</xdr:row>
      <xdr:rowOff>17250</xdr:rowOff>
    </xdr:from>
    <xdr:to>
      <xdr:col>7</xdr:col>
      <xdr:colOff>483081</xdr:colOff>
      <xdr:row>1</xdr:row>
      <xdr:rowOff>345055</xdr:rowOff>
    </xdr:to>
    <xdr:sp macro="" textlink="">
      <xdr:nvSpPr>
        <xdr:cNvPr id="5" name="Rechteck 4">
          <a:hlinkClick xmlns:r="http://schemas.openxmlformats.org/officeDocument/2006/relationships" r:id="rId1"/>
        </xdr:cNvPr>
        <xdr:cNvSpPr/>
      </xdr:nvSpPr>
      <xdr:spPr>
        <a:xfrm>
          <a:off x="4399477" y="51756"/>
          <a:ext cx="888517" cy="327805"/>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Stickstoff</a:t>
          </a:r>
        </a:p>
      </xdr:txBody>
    </xdr:sp>
    <xdr:clientData/>
  </xdr:twoCellAnchor>
  <xdr:twoCellAnchor>
    <xdr:from>
      <xdr:col>7</xdr:col>
      <xdr:colOff>517586</xdr:colOff>
      <xdr:row>1</xdr:row>
      <xdr:rowOff>14382</xdr:rowOff>
    </xdr:from>
    <xdr:to>
      <xdr:col>9</xdr:col>
      <xdr:colOff>828137</xdr:colOff>
      <xdr:row>1</xdr:row>
      <xdr:rowOff>342187</xdr:rowOff>
    </xdr:to>
    <xdr:sp macro="" textlink="">
      <xdr:nvSpPr>
        <xdr:cNvPr id="6" name="Rechteck 5">
          <a:hlinkClick xmlns:r="http://schemas.openxmlformats.org/officeDocument/2006/relationships" r:id="rId2"/>
        </xdr:cNvPr>
        <xdr:cNvSpPr/>
      </xdr:nvSpPr>
      <xdr:spPr>
        <a:xfrm>
          <a:off x="5322499" y="48888"/>
          <a:ext cx="2104846" cy="327805"/>
        </a:xfrm>
        <a:prstGeom prst="rect">
          <a:avLst/>
        </a:prstGeom>
        <a:solidFill>
          <a:schemeClr val="accent3">
            <a:lumMod val="20000"/>
            <a:lumOff val="80000"/>
          </a:schemeClr>
        </a:solidFill>
        <a:ln>
          <a:solidFill>
            <a:schemeClr val="accent3">
              <a:lumMod val="20000"/>
              <a:lumOff val="80000"/>
            </a:schemeClr>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Ergebnis</a:t>
          </a:r>
        </a:p>
        <a:p>
          <a:pPr marL="0" indent="0" algn="ctr"/>
          <a:r>
            <a:rPr lang="de-DE" sz="800" b="1">
              <a:solidFill>
                <a:schemeClr val="accent3">
                  <a:lumMod val="50000"/>
                </a:schemeClr>
              </a:solidFill>
              <a:latin typeface="Arial" panose="020B0604020202020204" pitchFamily="34" charset="0"/>
              <a:ea typeface="+mn-ea"/>
              <a:cs typeface="Arial" panose="020B0604020202020204" pitchFamily="34" charset="0"/>
            </a:rPr>
            <a:t>Phosphat, Kali, Magnesiumoxid u. Kalk</a:t>
          </a:r>
        </a:p>
      </xdr:txBody>
    </xdr:sp>
    <xdr:clientData/>
  </xdr:twoCellAnchor>
  <xdr:twoCellAnchor>
    <xdr:from>
      <xdr:col>2</xdr:col>
      <xdr:colOff>40223</xdr:colOff>
      <xdr:row>1</xdr:row>
      <xdr:rowOff>23001</xdr:rowOff>
    </xdr:from>
    <xdr:to>
      <xdr:col>2</xdr:col>
      <xdr:colOff>894236</xdr:colOff>
      <xdr:row>1</xdr:row>
      <xdr:rowOff>350806</xdr:rowOff>
    </xdr:to>
    <xdr:sp macro="" textlink="">
      <xdr:nvSpPr>
        <xdr:cNvPr id="7" name="Rechteck 6">
          <a:hlinkClick xmlns:r="http://schemas.openxmlformats.org/officeDocument/2006/relationships" r:id="rId3"/>
        </xdr:cNvPr>
        <xdr:cNvSpPr/>
      </xdr:nvSpPr>
      <xdr:spPr>
        <a:xfrm>
          <a:off x="290389" y="57507"/>
          <a:ext cx="854013" cy="327805"/>
        </a:xfrm>
        <a:prstGeom prst="rect">
          <a:avLst/>
        </a:prstGeom>
        <a:solidFill>
          <a:schemeClr val="accent3">
            <a:lumMod val="75000"/>
          </a:schemeClr>
        </a:solidFill>
        <a:ln>
          <a:solidFill>
            <a:schemeClr val="accent3"/>
          </a:solidFill>
        </a:ln>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indent="0" algn="ctr"/>
          <a:r>
            <a:rPr lang="de-DE" sz="800" b="1">
              <a:solidFill>
                <a:schemeClr val="accent3">
                  <a:lumMod val="20000"/>
                  <a:lumOff val="80000"/>
                </a:schemeClr>
              </a:solidFill>
              <a:latin typeface="Arial" panose="020B0604020202020204" pitchFamily="34" charset="0"/>
              <a:ea typeface="+mn-ea"/>
              <a:cs typeface="Arial" panose="020B0604020202020204" pitchFamily="34" charset="0"/>
            </a:rPr>
            <a:t>Startmenü</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6</xdr:col>
          <xdr:colOff>0</xdr:colOff>
          <xdr:row>22</xdr:row>
          <xdr:rowOff>0</xdr:rowOff>
        </xdr:to>
        <xdr:sp macro="" textlink="">
          <xdr:nvSpPr>
            <xdr:cNvPr id="148481" name="Drop Down 1" hidden="1">
              <a:extLst>
                <a:ext uri="{63B3BB69-23CF-44E3-9099-C40C66FF867C}">
                  <a14:compatExt spid="_x0000_s14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0</xdr:rowOff>
        </xdr:from>
        <xdr:to>
          <xdr:col>6</xdr:col>
          <xdr:colOff>0</xdr:colOff>
          <xdr:row>53</xdr:row>
          <xdr:rowOff>0</xdr:rowOff>
        </xdr:to>
        <xdr:sp macro="" textlink="">
          <xdr:nvSpPr>
            <xdr:cNvPr id="148482" name="Drop Down 2" hidden="1">
              <a:extLst>
                <a:ext uri="{63B3BB69-23CF-44E3-9099-C40C66FF867C}">
                  <a14:compatExt spid="_x0000_s14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0</xdr:rowOff>
        </xdr:from>
        <xdr:to>
          <xdr:col>4</xdr:col>
          <xdr:colOff>0</xdr:colOff>
          <xdr:row>55</xdr:row>
          <xdr:rowOff>0</xdr:rowOff>
        </xdr:to>
        <xdr:sp macro="" textlink="">
          <xdr:nvSpPr>
            <xdr:cNvPr id="148484" name="Drop Down 4" hidden="1">
              <a:extLst>
                <a:ext uri="{63B3BB69-23CF-44E3-9099-C40C66FF867C}">
                  <a14:compatExt spid="_x0000_s14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5</xdr:col>
          <xdr:colOff>0</xdr:colOff>
          <xdr:row>41</xdr:row>
          <xdr:rowOff>0</xdr:rowOff>
        </xdr:to>
        <xdr:sp macro="" textlink="">
          <xdr:nvSpPr>
            <xdr:cNvPr id="148485" name="Drop Down 5" hidden="1">
              <a:extLst>
                <a:ext uri="{63B3BB69-23CF-44E3-9099-C40C66FF867C}">
                  <a14:compatExt spid="_x0000_s14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6</xdr:col>
          <xdr:colOff>0</xdr:colOff>
          <xdr:row>32</xdr:row>
          <xdr:rowOff>0</xdr:rowOff>
        </xdr:to>
        <xdr:sp macro="" textlink="">
          <xdr:nvSpPr>
            <xdr:cNvPr id="148486" name="Drop Down 6" hidden="1">
              <a:extLst>
                <a:ext uri="{63B3BB69-23CF-44E3-9099-C40C66FF867C}">
                  <a14:compatExt spid="_x0000_s14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5</xdr:col>
          <xdr:colOff>0</xdr:colOff>
          <xdr:row>45</xdr:row>
          <xdr:rowOff>0</xdr:rowOff>
        </xdr:to>
        <xdr:sp macro="" textlink="">
          <xdr:nvSpPr>
            <xdr:cNvPr id="148488" name="Drop Down 8" hidden="1">
              <a:extLst>
                <a:ext uri="{63B3BB69-23CF-44E3-9099-C40C66FF867C}">
                  <a14:compatExt spid="_x0000_s14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63</xdr:row>
          <xdr:rowOff>0</xdr:rowOff>
        </xdr:from>
        <xdr:to>
          <xdr:col>3</xdr:col>
          <xdr:colOff>0</xdr:colOff>
          <xdr:row>64</xdr:row>
          <xdr:rowOff>0</xdr:rowOff>
        </xdr:to>
        <xdr:sp macro="" textlink="">
          <xdr:nvSpPr>
            <xdr:cNvPr id="148491" name="Drop Down 11" hidden="1">
              <a:extLst>
                <a:ext uri="{63B3BB69-23CF-44E3-9099-C40C66FF867C}">
                  <a14:compatExt spid="_x0000_s148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63</xdr:row>
          <xdr:rowOff>0</xdr:rowOff>
        </xdr:from>
        <xdr:to>
          <xdr:col>6</xdr:col>
          <xdr:colOff>0</xdr:colOff>
          <xdr:row>64</xdr:row>
          <xdr:rowOff>0</xdr:rowOff>
        </xdr:to>
        <xdr:sp macro="" textlink="">
          <xdr:nvSpPr>
            <xdr:cNvPr id="148492" name="Drop Down 12" hidden="1">
              <a:extLst>
                <a:ext uri="{63B3BB69-23CF-44E3-9099-C40C66FF867C}">
                  <a14:compatExt spid="_x0000_s148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63</xdr:row>
          <xdr:rowOff>0</xdr:rowOff>
        </xdr:from>
        <xdr:to>
          <xdr:col>9</xdr:col>
          <xdr:colOff>876300</xdr:colOff>
          <xdr:row>64</xdr:row>
          <xdr:rowOff>0</xdr:rowOff>
        </xdr:to>
        <xdr:sp macro="" textlink="">
          <xdr:nvSpPr>
            <xdr:cNvPr id="148493" name="Drop Down 13" hidden="1">
              <a:extLst>
                <a:ext uri="{63B3BB69-23CF-44E3-9099-C40C66FF867C}">
                  <a14:compatExt spid="_x0000_s148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34</xdr:row>
          <xdr:rowOff>0</xdr:rowOff>
        </xdr:from>
        <xdr:to>
          <xdr:col>4</xdr:col>
          <xdr:colOff>0</xdr:colOff>
          <xdr:row>35</xdr:row>
          <xdr:rowOff>0</xdr:rowOff>
        </xdr:to>
        <xdr:sp macro="" textlink="">
          <xdr:nvSpPr>
            <xdr:cNvPr id="148499" name="Drop Down 19" hidden="1">
              <a:extLst>
                <a:ext uri="{63B3BB69-23CF-44E3-9099-C40C66FF867C}">
                  <a14:compatExt spid="_x0000_s148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48</xdr:row>
          <xdr:rowOff>0</xdr:rowOff>
        </xdr:from>
        <xdr:to>
          <xdr:col>5</xdr:col>
          <xdr:colOff>0</xdr:colOff>
          <xdr:row>49</xdr:row>
          <xdr:rowOff>0</xdr:rowOff>
        </xdr:to>
        <xdr:sp macro="" textlink="">
          <xdr:nvSpPr>
            <xdr:cNvPr id="148501" name="Drop Down 21" hidden="1">
              <a:extLst>
                <a:ext uri="{63B3BB69-23CF-44E3-9099-C40C66FF867C}">
                  <a14:compatExt spid="_x0000_s148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54</xdr:row>
          <xdr:rowOff>0</xdr:rowOff>
        </xdr:from>
        <xdr:to>
          <xdr:col>9</xdr:col>
          <xdr:colOff>171450</xdr:colOff>
          <xdr:row>55</xdr:row>
          <xdr:rowOff>0</xdr:rowOff>
        </xdr:to>
        <xdr:sp macro="" textlink="">
          <xdr:nvSpPr>
            <xdr:cNvPr id="148503" name="Drop Down 23" hidden="1">
              <a:extLst>
                <a:ext uri="{63B3BB69-23CF-44E3-9099-C40C66FF867C}">
                  <a14:compatExt spid="_x0000_s148503"/>
                </a:ext>
              </a:extLst>
            </xdr:cNvPr>
            <xdr:cNvSpPr/>
          </xdr:nvSpPr>
          <xdr:spPr>
            <a:xfrm>
              <a:off x="0" y="0"/>
              <a:ext cx="0" cy="0"/>
            </a:xfrm>
            <a:prstGeom prst="rect">
              <a:avLst/>
            </a:prstGeom>
          </xdr:spPr>
        </xdr:sp>
        <xdr:clientData/>
      </xdr:twoCellAnchor>
    </mc:Choice>
    <mc:Fallback/>
  </mc:AlternateContent>
  <xdr:oneCellAnchor>
    <xdr:from>
      <xdr:col>1</xdr:col>
      <xdr:colOff>0</xdr:colOff>
      <xdr:row>11</xdr:row>
      <xdr:rowOff>0</xdr:rowOff>
    </xdr:from>
    <xdr:ext cx="215661" cy="172529"/>
    <xdr:sp macro="" textlink="">
      <xdr:nvSpPr>
        <xdr:cNvPr id="17" name="Rechteck 16">
          <a:hlinkClick xmlns:r="http://schemas.openxmlformats.org/officeDocument/2006/relationships" r:id="rId4"/>
        </xdr:cNvPr>
        <xdr:cNvSpPr/>
      </xdr:nvSpPr>
      <xdr:spPr>
        <a:xfrm flipH="1">
          <a:off x="34506" y="1492370"/>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8</xdr:col>
      <xdr:colOff>681484</xdr:colOff>
      <xdr:row>2</xdr:row>
      <xdr:rowOff>232913</xdr:rowOff>
    </xdr:from>
    <xdr:ext cx="215661" cy="172529"/>
    <xdr:sp macro="" textlink="">
      <xdr:nvSpPr>
        <xdr:cNvPr id="18" name="Rechteck 17">
          <a:hlinkClick xmlns:r="http://schemas.openxmlformats.org/officeDocument/2006/relationships" r:id="rId4"/>
        </xdr:cNvPr>
        <xdr:cNvSpPr/>
      </xdr:nvSpPr>
      <xdr:spPr>
        <a:xfrm flipH="1">
          <a:off x="6383544" y="655607"/>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20</xdr:row>
      <xdr:rowOff>0</xdr:rowOff>
    </xdr:from>
    <xdr:ext cx="215661" cy="172529"/>
    <xdr:sp macro="" textlink="">
      <xdr:nvSpPr>
        <xdr:cNvPr id="20" name="Rechteck 19">
          <a:hlinkClick xmlns:r="http://schemas.openxmlformats.org/officeDocument/2006/relationships" r:id="rId5"/>
        </xdr:cNvPr>
        <xdr:cNvSpPr/>
      </xdr:nvSpPr>
      <xdr:spPr>
        <a:xfrm flipH="1">
          <a:off x="34506" y="2950234"/>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23</xdr:row>
      <xdr:rowOff>0</xdr:rowOff>
    </xdr:from>
    <xdr:ext cx="215661" cy="172529"/>
    <xdr:sp macro="" textlink="">
      <xdr:nvSpPr>
        <xdr:cNvPr id="21" name="Rechteck 20">
          <a:hlinkClick xmlns:r="http://schemas.openxmlformats.org/officeDocument/2006/relationships" r:id="rId6"/>
        </xdr:cNvPr>
        <xdr:cNvSpPr/>
      </xdr:nvSpPr>
      <xdr:spPr>
        <a:xfrm flipH="1">
          <a:off x="34506" y="3295291"/>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27</xdr:row>
      <xdr:rowOff>0</xdr:rowOff>
    </xdr:from>
    <xdr:ext cx="215661" cy="172529"/>
    <xdr:sp macro="" textlink="">
      <xdr:nvSpPr>
        <xdr:cNvPr id="22" name="Rechteck 21">
          <a:hlinkClick xmlns:r="http://schemas.openxmlformats.org/officeDocument/2006/relationships" r:id="rId7"/>
        </xdr:cNvPr>
        <xdr:cNvSpPr/>
      </xdr:nvSpPr>
      <xdr:spPr>
        <a:xfrm flipH="1">
          <a:off x="34506" y="3985404"/>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29</xdr:row>
      <xdr:rowOff>0</xdr:rowOff>
    </xdr:from>
    <xdr:ext cx="215661" cy="172529"/>
    <xdr:sp macro="" textlink="">
      <xdr:nvSpPr>
        <xdr:cNvPr id="24" name="Rechteck 23">
          <a:hlinkClick xmlns:r="http://schemas.openxmlformats.org/officeDocument/2006/relationships" r:id="rId8"/>
        </xdr:cNvPr>
        <xdr:cNvSpPr/>
      </xdr:nvSpPr>
      <xdr:spPr>
        <a:xfrm flipH="1">
          <a:off x="34506" y="4330460"/>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36</xdr:row>
      <xdr:rowOff>0</xdr:rowOff>
    </xdr:from>
    <xdr:ext cx="215661" cy="172529"/>
    <xdr:sp macro="" textlink="">
      <xdr:nvSpPr>
        <xdr:cNvPr id="25" name="Rechteck 24">
          <a:hlinkClick xmlns:r="http://schemas.openxmlformats.org/officeDocument/2006/relationships" r:id="rId9"/>
        </xdr:cNvPr>
        <xdr:cNvSpPr/>
      </xdr:nvSpPr>
      <xdr:spPr>
        <a:xfrm flipH="1">
          <a:off x="34506" y="5538158"/>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50</xdr:row>
      <xdr:rowOff>0</xdr:rowOff>
    </xdr:from>
    <xdr:ext cx="215661" cy="172529"/>
    <xdr:sp macro="" textlink="">
      <xdr:nvSpPr>
        <xdr:cNvPr id="26" name="Rechteck 25">
          <a:hlinkClick xmlns:r="http://schemas.openxmlformats.org/officeDocument/2006/relationships" r:id="rId10"/>
        </xdr:cNvPr>
        <xdr:cNvSpPr/>
      </xdr:nvSpPr>
      <xdr:spPr>
        <a:xfrm flipH="1">
          <a:off x="34506" y="7953555"/>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56</xdr:row>
      <xdr:rowOff>0</xdr:rowOff>
    </xdr:from>
    <xdr:ext cx="215661" cy="172529"/>
    <xdr:sp macro="" textlink="">
      <xdr:nvSpPr>
        <xdr:cNvPr id="27" name="Rechteck 26">
          <a:hlinkClick xmlns:r="http://schemas.openxmlformats.org/officeDocument/2006/relationships" r:id="rId11"/>
        </xdr:cNvPr>
        <xdr:cNvSpPr/>
      </xdr:nvSpPr>
      <xdr:spPr>
        <a:xfrm flipH="1">
          <a:off x="34506" y="8988725"/>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36</xdr:row>
      <xdr:rowOff>0</xdr:rowOff>
    </xdr:from>
    <xdr:ext cx="215661" cy="172529"/>
    <xdr:sp macro="" textlink="">
      <xdr:nvSpPr>
        <xdr:cNvPr id="28" name="Rechteck 27">
          <a:hlinkClick xmlns:r="http://schemas.openxmlformats.org/officeDocument/2006/relationships" r:id="rId12"/>
        </xdr:cNvPr>
        <xdr:cNvSpPr/>
      </xdr:nvSpPr>
      <xdr:spPr>
        <a:xfrm flipH="1">
          <a:off x="38100" y="7391400"/>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oneCellAnchor>
    <xdr:from>
      <xdr:col>1</xdr:col>
      <xdr:colOff>0</xdr:colOff>
      <xdr:row>36</xdr:row>
      <xdr:rowOff>0</xdr:rowOff>
    </xdr:from>
    <xdr:ext cx="215661" cy="172529"/>
    <xdr:sp macro="" textlink="">
      <xdr:nvSpPr>
        <xdr:cNvPr id="29" name="Rechteck 28">
          <a:hlinkClick xmlns:r="http://schemas.openxmlformats.org/officeDocument/2006/relationships" r:id="rId13"/>
        </xdr:cNvPr>
        <xdr:cNvSpPr/>
      </xdr:nvSpPr>
      <xdr:spPr>
        <a:xfrm flipH="1">
          <a:off x="38100" y="7391400"/>
          <a:ext cx="215661" cy="172529"/>
        </a:xfrm>
        <a:prstGeom prst="rect">
          <a:avLst/>
        </a:prstGeom>
        <a:solidFill>
          <a:schemeClr val="accent3">
            <a:lumMod val="20000"/>
            <a:lumOff val="80000"/>
          </a:schemeClr>
        </a:solidFill>
        <a:ln>
          <a:solidFill>
            <a:schemeClr val="accent3">
              <a:lumMod val="50000"/>
            </a:schemeClr>
          </a:solidFill>
        </a:ln>
      </xdr:spPr>
      <xdr:style>
        <a:lnRef idx="1">
          <a:schemeClr val="accent3"/>
        </a:lnRef>
        <a:fillRef idx="3">
          <a:schemeClr val="accent3"/>
        </a:fillRef>
        <a:effectRef idx="2">
          <a:schemeClr val="accent3"/>
        </a:effectRef>
        <a:fontRef idx="minor">
          <a:schemeClr val="lt1"/>
        </a:fontRef>
      </xdr:style>
      <xdr:txBody>
        <a:bodyPr vertOverflow="overflow" horzOverflow="overflow" lIns="0" tIns="0" rIns="0" bIns="0" rtlCol="0" anchor="ctr" anchorCtr="0">
          <a:noAutofit/>
        </a:bodyPr>
        <a:lstStyle/>
        <a:p>
          <a:pPr algn="ctr"/>
          <a:r>
            <a:rPr lang="de-DE" sz="1100" b="1">
              <a:solidFill>
                <a:schemeClr val="accent3">
                  <a:lumMod val="50000"/>
                </a:schemeClr>
              </a:solidFill>
              <a:latin typeface="Arial Rounded MT Bold" panose="020F0704030504030204" pitchFamily="34" charset="0"/>
            </a:rPr>
            <a:t>i</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chim.Bader@lel.bwl.d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4.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3.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7.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3.xml"/><Relationship Id="rId1" Type="http://schemas.openxmlformats.org/officeDocument/2006/relationships/printerSettings" Target="../printerSettings/printerSettings22.bin"/><Relationship Id="rId4" Type="http://schemas.openxmlformats.org/officeDocument/2006/relationships/comments" Target="../comments5.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8.xml"/><Relationship Id="rId1" Type="http://schemas.openxmlformats.org/officeDocument/2006/relationships/printerSettings" Target="../printerSettings/printerSettings25.bin"/><Relationship Id="rId4" Type="http://schemas.openxmlformats.org/officeDocument/2006/relationships/comments" Target="../comments6.xml"/></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3.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3.bin"/><Relationship Id="rId16" Type="http://schemas.openxmlformats.org/officeDocument/2006/relationships/ctrlProp" Target="../ctrlProps/ctrlProp12.xml"/><Relationship Id="rId1" Type="http://schemas.openxmlformats.org/officeDocument/2006/relationships/hyperlink" Target="http://ltz-bw.de/pb/,Lde/Startseite/Arbeitsfelder/Nitratinformationsdienst"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3" Type="http://schemas.openxmlformats.org/officeDocument/2006/relationships/vmlDrawing" Target="../drawings/vmlDrawing3.vml"/><Relationship Id="rId7" Type="http://schemas.openxmlformats.org/officeDocument/2006/relationships/ctrlProp" Target="../ctrlProps/ctrlProp25.xml"/><Relationship Id="rId12" Type="http://schemas.openxmlformats.org/officeDocument/2006/relationships/ctrlProp" Target="../ctrlProps/ctrlProp30.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9" tint="0.59999389629810485"/>
  </sheetPr>
  <dimension ref="C1:Q301"/>
  <sheetViews>
    <sheetView showGridLines="0" tabSelected="1" zoomScale="90" zoomScaleNormal="90" workbookViewId="0">
      <pane ySplit="13" topLeftCell="A14" activePane="bottomLeft" state="frozen"/>
      <selection activeCell="W4" sqref="W4"/>
      <selection pane="bottomLeft" activeCell="H109" sqref="H109"/>
    </sheetView>
  </sheetViews>
  <sheetFormatPr baseColWidth="10" defaultRowHeight="14.25" x14ac:dyDescent="0.2"/>
  <cols>
    <col min="1" max="1" width="0.5" customWidth="1"/>
    <col min="2" max="2" width="0.375" customWidth="1"/>
    <col min="11" max="11" width="24.25" customWidth="1"/>
    <col min="12" max="12" width="11.5" style="4"/>
  </cols>
  <sheetData>
    <row r="1" spans="3:17" ht="2.85" customHeight="1" x14ac:dyDescent="0.2"/>
    <row r="2" spans="3:17" ht="18" x14ac:dyDescent="0.25">
      <c r="C2" s="187" t="s">
        <v>0</v>
      </c>
      <c r="D2" s="188"/>
      <c r="E2" s="188"/>
      <c r="F2" s="188"/>
      <c r="G2" s="1824" t="s">
        <v>4913</v>
      </c>
      <c r="H2" s="1825"/>
      <c r="I2" s="1825"/>
      <c r="J2" s="1825"/>
      <c r="K2" s="1826"/>
      <c r="Q2" s="4"/>
    </row>
    <row r="3" spans="3:17" x14ac:dyDescent="0.2">
      <c r="C3" s="186" t="s">
        <v>44</v>
      </c>
      <c r="D3" s="4"/>
      <c r="E3" s="4"/>
      <c r="F3" s="4"/>
      <c r="G3" s="1827"/>
      <c r="H3" s="1827"/>
      <c r="I3" s="1827"/>
      <c r="J3" s="1827"/>
      <c r="K3" s="1828"/>
      <c r="M3" s="4"/>
      <c r="N3" s="4"/>
      <c r="O3" s="4"/>
      <c r="P3" s="4"/>
      <c r="Q3" s="4"/>
    </row>
    <row r="4" spans="3:17" x14ac:dyDescent="0.2">
      <c r="C4" s="1711" t="s">
        <v>4911</v>
      </c>
      <c r="D4" s="3"/>
      <c r="E4" s="3"/>
      <c r="F4" s="3"/>
      <c r="G4" s="1829"/>
      <c r="H4" s="1829"/>
      <c r="I4" s="1829"/>
      <c r="J4" s="1829"/>
      <c r="K4" s="1830"/>
      <c r="M4" s="4"/>
      <c r="N4" s="4"/>
      <c r="O4" s="4"/>
      <c r="P4" s="4"/>
      <c r="Q4" s="4"/>
    </row>
    <row r="5" spans="3:17" x14ac:dyDescent="0.2">
      <c r="C5" s="1831" t="s">
        <v>4382</v>
      </c>
      <c r="D5" s="1832"/>
      <c r="E5" s="1832"/>
      <c r="F5" s="1832"/>
      <c r="G5" s="1832"/>
      <c r="H5" s="1832"/>
      <c r="I5" s="1832"/>
      <c r="J5" s="1832"/>
      <c r="K5" s="1833"/>
      <c r="M5" s="4"/>
      <c r="N5" s="4"/>
      <c r="O5" s="4"/>
      <c r="P5" s="4"/>
      <c r="Q5" s="4"/>
    </row>
    <row r="6" spans="3:17" x14ac:dyDescent="0.2">
      <c r="C6" s="1834"/>
      <c r="D6" s="1835"/>
      <c r="E6" s="1835"/>
      <c r="F6" s="1835"/>
      <c r="G6" s="1835"/>
      <c r="H6" s="1835"/>
      <c r="I6" s="1835"/>
      <c r="J6" s="1835"/>
      <c r="K6" s="1836"/>
      <c r="M6" s="4"/>
      <c r="N6" s="4"/>
      <c r="O6" s="4"/>
      <c r="P6" s="4"/>
      <c r="Q6" s="4"/>
    </row>
    <row r="7" spans="3:17" x14ac:dyDescent="0.2">
      <c r="C7" s="1834"/>
      <c r="D7" s="1835"/>
      <c r="E7" s="1835"/>
      <c r="F7" s="1835"/>
      <c r="G7" s="1835"/>
      <c r="H7" s="1835"/>
      <c r="I7" s="1835"/>
      <c r="J7" s="1835"/>
      <c r="K7" s="1836"/>
      <c r="M7" s="4"/>
      <c r="N7" s="4"/>
      <c r="O7" s="4"/>
      <c r="P7" s="4"/>
      <c r="Q7" s="4"/>
    </row>
    <row r="8" spans="3:17" x14ac:dyDescent="0.2">
      <c r="C8" s="162" t="s">
        <v>45</v>
      </c>
      <c r="D8" s="4"/>
      <c r="E8" s="4"/>
      <c r="F8" s="4"/>
      <c r="G8" s="4"/>
      <c r="H8" s="4"/>
      <c r="I8" s="4"/>
      <c r="J8" s="565" t="s">
        <v>4367</v>
      </c>
      <c r="K8" s="10"/>
      <c r="M8" s="4"/>
      <c r="N8" s="4"/>
      <c r="O8" s="4"/>
      <c r="P8" s="4"/>
      <c r="Q8" s="4"/>
    </row>
    <row r="9" spans="3:17" ht="13.7" x14ac:dyDescent="0.2">
      <c r="C9" s="5"/>
      <c r="D9" s="4"/>
      <c r="E9" s="4"/>
      <c r="F9" s="4"/>
      <c r="G9" s="4"/>
      <c r="H9" s="4"/>
      <c r="I9" s="4"/>
      <c r="J9" s="4"/>
      <c r="K9" s="10"/>
      <c r="M9" s="4"/>
      <c r="N9" s="4"/>
      <c r="O9" s="4"/>
      <c r="P9" s="4"/>
      <c r="Q9" s="4"/>
    </row>
    <row r="10" spans="3:17" ht="13.7" x14ac:dyDescent="0.2">
      <c r="C10" s="5"/>
      <c r="D10" s="4"/>
      <c r="E10" s="4"/>
      <c r="F10" s="4"/>
      <c r="G10" s="4"/>
      <c r="H10" s="4"/>
      <c r="I10" s="4"/>
      <c r="J10" s="4"/>
      <c r="K10" s="10"/>
      <c r="M10" s="4"/>
      <c r="N10" s="4"/>
      <c r="O10" s="4"/>
      <c r="P10" s="4"/>
      <c r="Q10" s="4"/>
    </row>
    <row r="11" spans="3:17" ht="13.7" x14ac:dyDescent="0.2">
      <c r="C11" s="5"/>
      <c r="D11" s="4"/>
      <c r="E11" s="4"/>
      <c r="F11" s="4"/>
      <c r="G11" s="4"/>
      <c r="H11" s="4"/>
      <c r="I11" s="4"/>
      <c r="J11" s="4"/>
      <c r="K11" s="10"/>
      <c r="M11" s="4"/>
      <c r="N11" s="4"/>
      <c r="O11" s="4"/>
      <c r="P11" s="4"/>
      <c r="Q11" s="4"/>
    </row>
    <row r="12" spans="3:17" ht="13.7" x14ac:dyDescent="0.2">
      <c r="C12" s="5"/>
      <c r="D12" s="4"/>
      <c r="E12" s="4"/>
      <c r="F12" s="4"/>
      <c r="G12" s="4"/>
      <c r="H12" s="4"/>
      <c r="I12" s="4"/>
      <c r="J12" s="4"/>
      <c r="K12" s="10"/>
      <c r="M12" s="4"/>
      <c r="N12" s="4"/>
      <c r="O12" s="4"/>
      <c r="P12" s="4"/>
      <c r="Q12" s="4"/>
    </row>
    <row r="13" spans="3:17" ht="13.7" x14ac:dyDescent="0.2">
      <c r="C13" s="5"/>
      <c r="D13" s="4"/>
      <c r="E13" s="4"/>
      <c r="F13" s="4"/>
      <c r="G13" s="4"/>
      <c r="H13" s="4"/>
      <c r="I13" s="4"/>
      <c r="J13" s="4"/>
      <c r="K13" s="10"/>
      <c r="M13" s="4"/>
      <c r="N13" s="4"/>
      <c r="O13" s="4"/>
      <c r="P13" s="4"/>
      <c r="Q13" s="4"/>
    </row>
    <row r="14" spans="3:17" ht="13.7" x14ac:dyDescent="0.2">
      <c r="C14" s="5"/>
      <c r="D14" s="4"/>
      <c r="E14" s="4"/>
      <c r="F14" s="4"/>
      <c r="G14" s="4"/>
      <c r="H14" s="4"/>
      <c r="I14" s="4"/>
      <c r="J14" s="4"/>
      <c r="K14" s="10"/>
      <c r="M14" s="4"/>
      <c r="N14" s="4"/>
      <c r="O14" s="4"/>
      <c r="P14" s="4"/>
      <c r="Q14" s="4"/>
    </row>
    <row r="15" spans="3:17" ht="13.7" x14ac:dyDescent="0.2">
      <c r="C15" s="5"/>
      <c r="D15" s="4"/>
      <c r="E15" s="4"/>
      <c r="F15" s="4"/>
      <c r="G15" s="4"/>
      <c r="H15" s="4"/>
      <c r="I15" s="4"/>
      <c r="J15" s="4"/>
      <c r="K15" s="10"/>
      <c r="M15" s="4"/>
      <c r="N15" s="4"/>
      <c r="O15" s="4"/>
      <c r="P15" s="4"/>
      <c r="Q15" s="4"/>
    </row>
    <row r="16" spans="3:17" ht="13.7" x14ac:dyDescent="0.2">
      <c r="C16" s="162" t="s">
        <v>4365</v>
      </c>
      <c r="D16" s="4"/>
      <c r="E16" s="4"/>
      <c r="F16" s="4"/>
      <c r="G16" s="4"/>
      <c r="H16" s="4"/>
      <c r="I16" s="4"/>
      <c r="J16" s="4"/>
      <c r="K16" s="10"/>
      <c r="M16" s="4"/>
      <c r="N16" s="4"/>
      <c r="O16" s="4"/>
      <c r="P16" s="4"/>
      <c r="Q16" s="4"/>
    </row>
    <row r="17" spans="3:17" ht="13.7" x14ac:dyDescent="0.2">
      <c r="C17" s="24"/>
      <c r="D17" s="1"/>
      <c r="E17" s="1"/>
      <c r="F17" s="1"/>
      <c r="G17" s="1"/>
      <c r="H17" s="1"/>
      <c r="I17" s="1"/>
      <c r="J17" s="283"/>
      <c r="K17" s="25"/>
      <c r="M17" s="4"/>
      <c r="N17" s="4"/>
      <c r="O17" s="4"/>
      <c r="P17" s="4"/>
      <c r="Q17" s="4"/>
    </row>
    <row r="18" spans="3:17" x14ac:dyDescent="0.2">
      <c r="C18" s="66" t="s">
        <v>4422</v>
      </c>
      <c r="D18" s="4"/>
      <c r="E18" s="4"/>
      <c r="F18" s="4"/>
      <c r="G18" s="4"/>
      <c r="H18" s="4"/>
      <c r="I18" s="4"/>
      <c r="J18" s="88"/>
      <c r="K18" s="10"/>
      <c r="M18" s="4"/>
      <c r="N18" s="4"/>
      <c r="O18" s="4"/>
      <c r="P18" s="4"/>
      <c r="Q18" s="4"/>
    </row>
    <row r="19" spans="3:17" ht="13.7" x14ac:dyDescent="0.2">
      <c r="C19" s="66" t="s">
        <v>4423</v>
      </c>
      <c r="D19" s="4"/>
      <c r="E19" s="4"/>
      <c r="F19" s="4"/>
      <c r="H19" s="4"/>
      <c r="I19" s="4"/>
      <c r="J19" s="4"/>
      <c r="K19" s="10"/>
      <c r="M19" s="4"/>
      <c r="N19" s="4"/>
      <c r="O19" s="4"/>
      <c r="P19" s="4"/>
      <c r="Q19" s="4"/>
    </row>
    <row r="20" spans="3:17" x14ac:dyDescent="0.2">
      <c r="C20" s="66" t="s">
        <v>4424</v>
      </c>
      <c r="D20" s="4"/>
      <c r="E20" s="4"/>
      <c r="F20" s="4"/>
      <c r="H20" s="4"/>
      <c r="I20" s="4"/>
      <c r="K20" s="10"/>
      <c r="M20" s="4"/>
      <c r="N20" s="4"/>
      <c r="O20" s="4"/>
      <c r="P20" s="4"/>
      <c r="Q20" s="4"/>
    </row>
    <row r="21" spans="3:17" x14ac:dyDescent="0.2">
      <c r="C21" s="66" t="s">
        <v>4366</v>
      </c>
      <c r="D21" s="4"/>
      <c r="E21" s="4"/>
      <c r="F21" s="4"/>
      <c r="H21" s="4"/>
      <c r="I21" s="4"/>
      <c r="K21" s="10"/>
      <c r="M21" s="4"/>
      <c r="N21" s="4"/>
      <c r="O21" s="4"/>
      <c r="P21" s="4"/>
      <c r="Q21" s="4"/>
    </row>
    <row r="22" spans="3:17" ht="13.7" x14ac:dyDescent="0.2">
      <c r="C22" s="162"/>
      <c r="D22" s="4"/>
      <c r="E22" s="4"/>
      <c r="F22" s="4"/>
      <c r="G22" s="4"/>
      <c r="H22" s="4"/>
      <c r="I22" s="4"/>
      <c r="J22" s="4"/>
      <c r="K22" s="10"/>
      <c r="M22" s="4"/>
      <c r="N22" s="4"/>
      <c r="O22" s="4"/>
      <c r="P22" s="4"/>
      <c r="Q22" s="4"/>
    </row>
    <row r="23" spans="3:17" ht="13.7" x14ac:dyDescent="0.2">
      <c r="C23" s="66" t="s">
        <v>4384</v>
      </c>
      <c r="D23" s="8"/>
      <c r="E23" s="93" t="s">
        <v>4383</v>
      </c>
      <c r="F23" s="8"/>
      <c r="G23" s="8"/>
      <c r="H23" s="8"/>
      <c r="I23" s="8"/>
      <c r="J23" s="8"/>
      <c r="K23" s="9"/>
    </row>
    <row r="24" spans="3:17" x14ac:dyDescent="0.2">
      <c r="C24" s="902" t="s">
        <v>4343</v>
      </c>
      <c r="D24" s="31"/>
      <c r="E24" s="1839" t="s">
        <v>4403</v>
      </c>
      <c r="F24" s="1840"/>
      <c r="G24" s="1840"/>
      <c r="H24" s="1840"/>
      <c r="I24" s="1840"/>
      <c r="J24" s="1840"/>
      <c r="K24" s="1841"/>
    </row>
    <row r="25" spans="3:17" x14ac:dyDescent="0.2">
      <c r="C25" s="902" t="s">
        <v>4344</v>
      </c>
      <c r="D25" s="31"/>
      <c r="E25" s="1839" t="s">
        <v>4385</v>
      </c>
      <c r="F25" s="1840"/>
      <c r="G25" s="1840"/>
      <c r="H25" s="1840"/>
      <c r="I25" s="1840"/>
      <c r="J25" s="1840"/>
      <c r="K25" s="1841"/>
      <c r="M25" s="4"/>
      <c r="N25" s="4"/>
      <c r="O25" s="4"/>
      <c r="P25" s="4"/>
      <c r="Q25" s="4"/>
    </row>
    <row r="26" spans="3:17" x14ac:dyDescent="0.2">
      <c r="C26" s="902" t="s">
        <v>4345</v>
      </c>
      <c r="D26" s="31"/>
      <c r="E26" s="1839" t="s">
        <v>4404</v>
      </c>
      <c r="F26" s="1840"/>
      <c r="G26" s="1840"/>
      <c r="H26" s="1840"/>
      <c r="I26" s="1840"/>
      <c r="J26" s="1840"/>
      <c r="K26" s="1841"/>
      <c r="M26" s="4"/>
      <c r="N26" s="4"/>
      <c r="O26" s="4"/>
      <c r="P26" s="4"/>
      <c r="Q26" s="4"/>
    </row>
    <row r="27" spans="3:17" x14ac:dyDescent="0.2">
      <c r="C27" s="902" t="s">
        <v>4346</v>
      </c>
      <c r="D27" s="31"/>
      <c r="E27" s="1839" t="s">
        <v>4405</v>
      </c>
      <c r="F27" s="1840"/>
      <c r="G27" s="1840"/>
      <c r="H27" s="1840"/>
      <c r="I27" s="1840"/>
      <c r="J27" s="1840"/>
      <c r="K27" s="1841"/>
      <c r="M27" s="4"/>
      <c r="N27" s="4"/>
      <c r="O27" s="4"/>
      <c r="P27" s="4"/>
      <c r="Q27" s="4"/>
    </row>
    <row r="28" spans="3:17" x14ac:dyDescent="0.2">
      <c r="C28" s="906" t="s">
        <v>4347</v>
      </c>
      <c r="D28" s="31"/>
      <c r="E28" s="1839" t="s">
        <v>4406</v>
      </c>
      <c r="F28" s="1840"/>
      <c r="G28" s="1840"/>
      <c r="H28" s="1840"/>
      <c r="I28" s="1840"/>
      <c r="J28" s="1840"/>
      <c r="K28" s="1841"/>
      <c r="M28" s="4"/>
      <c r="N28" s="4"/>
      <c r="O28" s="4"/>
      <c r="P28" s="4"/>
      <c r="Q28" s="4"/>
    </row>
    <row r="29" spans="3:17" x14ac:dyDescent="0.2">
      <c r="C29" s="902" t="s">
        <v>20</v>
      </c>
      <c r="D29" s="31"/>
      <c r="E29" s="1839" t="s">
        <v>4407</v>
      </c>
      <c r="F29" s="1840"/>
      <c r="G29" s="1840"/>
      <c r="H29" s="1840"/>
      <c r="I29" s="1840"/>
      <c r="J29" s="1840"/>
      <c r="K29" s="1841"/>
      <c r="M29" s="4"/>
      <c r="N29" s="4"/>
      <c r="O29" s="4"/>
      <c r="P29" s="4"/>
      <c r="Q29" s="4"/>
    </row>
    <row r="30" spans="3:17" x14ac:dyDescent="0.2">
      <c r="C30" s="902" t="s">
        <v>4348</v>
      </c>
      <c r="D30" s="31"/>
      <c r="E30" s="1839" t="s">
        <v>4408</v>
      </c>
      <c r="F30" s="1840"/>
      <c r="G30" s="1840"/>
      <c r="H30" s="1840"/>
      <c r="I30" s="1840"/>
      <c r="J30" s="1840"/>
      <c r="K30" s="1841"/>
      <c r="M30" s="4"/>
      <c r="N30" s="4"/>
      <c r="O30" s="4"/>
      <c r="P30" s="4"/>
      <c r="Q30" s="4"/>
    </row>
    <row r="31" spans="3:17" x14ac:dyDescent="0.2">
      <c r="C31" s="902" t="s">
        <v>4349</v>
      </c>
      <c r="D31" s="31"/>
      <c r="E31" s="1839" t="s">
        <v>4409</v>
      </c>
      <c r="F31" s="1840"/>
      <c r="G31" s="1840"/>
      <c r="H31" s="1840"/>
      <c r="I31" s="1840"/>
      <c r="J31" s="1840"/>
      <c r="K31" s="1841"/>
      <c r="M31" s="4"/>
      <c r="N31" s="4"/>
      <c r="O31" s="4"/>
      <c r="P31" s="4"/>
      <c r="Q31" s="4"/>
    </row>
    <row r="32" spans="3:17" x14ac:dyDescent="0.2">
      <c r="C32" s="902" t="s">
        <v>4246</v>
      </c>
      <c r="D32" s="31"/>
      <c r="E32" s="1839" t="s">
        <v>4410</v>
      </c>
      <c r="F32" s="1840"/>
      <c r="G32" s="1840"/>
      <c r="H32" s="1840"/>
      <c r="I32" s="1840"/>
      <c r="J32" s="1840"/>
      <c r="K32" s="1841"/>
      <c r="M32" s="4"/>
      <c r="N32" s="4"/>
      <c r="O32" s="4"/>
      <c r="P32" s="4"/>
      <c r="Q32" s="4"/>
    </row>
    <row r="33" spans="3:17" x14ac:dyDescent="0.2">
      <c r="C33" s="902" t="s">
        <v>4350</v>
      </c>
      <c r="D33" s="31"/>
      <c r="E33" s="1839" t="s">
        <v>4411</v>
      </c>
      <c r="F33" s="1840"/>
      <c r="G33" s="1840"/>
      <c r="H33" s="1840"/>
      <c r="I33" s="1840"/>
      <c r="J33" s="1840"/>
      <c r="K33" s="1841"/>
      <c r="M33" s="4"/>
      <c r="N33" s="4"/>
      <c r="O33" s="4"/>
      <c r="P33" s="4"/>
      <c r="Q33" s="4"/>
    </row>
    <row r="34" spans="3:17" x14ac:dyDescent="0.2">
      <c r="C34" s="902" t="s">
        <v>4351</v>
      </c>
      <c r="D34" s="31"/>
      <c r="E34" s="1839" t="s">
        <v>4412</v>
      </c>
      <c r="F34" s="1840"/>
      <c r="G34" s="1840"/>
      <c r="H34" s="1840"/>
      <c r="I34" s="1840"/>
      <c r="J34" s="1840"/>
      <c r="K34" s="1841"/>
      <c r="M34" s="4"/>
      <c r="N34" s="4"/>
      <c r="O34" s="4"/>
      <c r="P34" s="4"/>
      <c r="Q34" s="4"/>
    </row>
    <row r="35" spans="3:17" x14ac:dyDescent="0.2">
      <c r="C35" s="902" t="s">
        <v>4352</v>
      </c>
      <c r="D35" s="31"/>
      <c r="E35" s="1839" t="s">
        <v>4613</v>
      </c>
      <c r="F35" s="1840"/>
      <c r="G35" s="1840"/>
      <c r="H35" s="1840"/>
      <c r="I35" s="1840"/>
      <c r="J35" s="1840"/>
      <c r="K35" s="1841"/>
      <c r="M35" s="4"/>
      <c r="N35" s="4"/>
      <c r="O35" s="4"/>
      <c r="P35" s="4"/>
      <c r="Q35" s="4"/>
    </row>
    <row r="36" spans="3:17" x14ac:dyDescent="0.2">
      <c r="C36" s="902" t="s">
        <v>4353</v>
      </c>
      <c r="D36" s="31"/>
      <c r="E36" s="1839" t="s">
        <v>4386</v>
      </c>
      <c r="F36" s="1840"/>
      <c r="G36" s="1840"/>
      <c r="H36" s="1840"/>
      <c r="I36" s="1840"/>
      <c r="J36" s="1840"/>
      <c r="K36" s="1841"/>
      <c r="M36" s="4"/>
      <c r="N36" s="4"/>
      <c r="O36" s="4"/>
      <c r="P36" s="4"/>
      <c r="Q36" s="4"/>
    </row>
    <row r="37" spans="3:17" x14ac:dyDescent="0.2">
      <c r="C37" s="902" t="s">
        <v>4354</v>
      </c>
      <c r="D37" s="31"/>
      <c r="E37" s="1839" t="s">
        <v>4391</v>
      </c>
      <c r="F37" s="1840"/>
      <c r="G37" s="1840"/>
      <c r="H37" s="1840"/>
      <c r="I37" s="1840"/>
      <c r="J37" s="1840"/>
      <c r="K37" s="1841"/>
      <c r="M37" s="4"/>
      <c r="N37" s="4"/>
      <c r="O37" s="4"/>
      <c r="P37" s="4"/>
      <c r="Q37" s="4"/>
    </row>
    <row r="38" spans="3:17" x14ac:dyDescent="0.2">
      <c r="C38" s="902" t="s">
        <v>4355</v>
      </c>
      <c r="D38" s="31"/>
      <c r="E38" s="1839" t="s">
        <v>4392</v>
      </c>
      <c r="F38" s="1840"/>
      <c r="G38" s="1840"/>
      <c r="H38" s="1840"/>
      <c r="I38" s="1840"/>
      <c r="J38" s="1840"/>
      <c r="K38" s="1841"/>
      <c r="M38" s="4"/>
      <c r="N38" s="4"/>
      <c r="O38" s="4"/>
      <c r="P38" s="4"/>
      <c r="Q38" s="4"/>
    </row>
    <row r="39" spans="3:17" x14ac:dyDescent="0.2">
      <c r="C39" s="906" t="s">
        <v>4356</v>
      </c>
      <c r="D39" s="31"/>
      <c r="E39" s="1839" t="s">
        <v>4387</v>
      </c>
      <c r="F39" s="1840"/>
      <c r="G39" s="1840"/>
      <c r="H39" s="1840"/>
      <c r="I39" s="1840"/>
      <c r="J39" s="1840"/>
      <c r="K39" s="1841"/>
      <c r="M39" s="4"/>
      <c r="N39" s="4"/>
      <c r="O39" s="4"/>
      <c r="P39" s="4"/>
      <c r="Q39" s="4"/>
    </row>
    <row r="40" spans="3:17" x14ac:dyDescent="0.2">
      <c r="C40" s="902" t="s">
        <v>4413</v>
      </c>
      <c r="D40" s="31"/>
      <c r="E40" s="1839" t="s">
        <v>4414</v>
      </c>
      <c r="F40" s="1840"/>
      <c r="G40" s="1840"/>
      <c r="H40" s="1840"/>
      <c r="I40" s="1840"/>
      <c r="J40" s="1840"/>
      <c r="K40" s="1841"/>
      <c r="M40" s="4"/>
      <c r="N40" s="4"/>
      <c r="O40" s="4"/>
      <c r="P40" s="4"/>
      <c r="Q40" s="4"/>
    </row>
    <row r="41" spans="3:17" x14ac:dyDescent="0.2">
      <c r="C41" s="902" t="s">
        <v>4415</v>
      </c>
      <c r="D41" s="31"/>
      <c r="E41" s="1839" t="s">
        <v>4416</v>
      </c>
      <c r="F41" s="1840"/>
      <c r="G41" s="1840"/>
      <c r="H41" s="1840"/>
      <c r="I41" s="1840"/>
      <c r="J41" s="1840"/>
      <c r="K41" s="1841"/>
      <c r="M41" s="4"/>
      <c r="N41" s="4"/>
      <c r="O41" s="4"/>
      <c r="P41" s="4"/>
      <c r="Q41" s="4"/>
    </row>
    <row r="42" spans="3:17" x14ac:dyDescent="0.2">
      <c r="C42" s="7"/>
      <c r="D42" s="8"/>
      <c r="E42" s="1837"/>
      <c r="F42" s="1837"/>
      <c r="G42" s="1837"/>
      <c r="H42" s="1837"/>
      <c r="I42" s="1837"/>
      <c r="J42" s="1837"/>
      <c r="K42" s="1838"/>
      <c r="M42" s="4"/>
      <c r="N42" s="4"/>
      <c r="O42" s="4"/>
      <c r="P42" s="4"/>
      <c r="Q42" s="4"/>
    </row>
    <row r="43" spans="3:17" x14ac:dyDescent="0.2">
      <c r="C43" s="66"/>
      <c r="D43" s="4"/>
      <c r="E43" s="4"/>
      <c r="F43" s="4"/>
      <c r="G43" s="4"/>
      <c r="H43" s="4"/>
      <c r="I43" s="4"/>
      <c r="J43" s="4"/>
      <c r="K43" s="10"/>
      <c r="M43" s="4"/>
      <c r="N43" s="4"/>
      <c r="O43" s="4"/>
      <c r="P43" s="4"/>
      <c r="Q43" s="4"/>
    </row>
    <row r="44" spans="3:17" x14ac:dyDescent="0.2">
      <c r="C44" s="646" t="s">
        <v>4388</v>
      </c>
      <c r="E44" s="4" t="s">
        <v>4401</v>
      </c>
      <c r="F44" s="4"/>
      <c r="G44" s="4"/>
      <c r="H44" s="4"/>
      <c r="I44" s="4"/>
      <c r="J44" s="4"/>
      <c r="K44" s="10"/>
      <c r="M44" s="4"/>
      <c r="N44" s="4"/>
      <c r="O44" s="4"/>
      <c r="P44" s="4"/>
      <c r="Q44" s="4"/>
    </row>
    <row r="45" spans="3:17" x14ac:dyDescent="0.2">
      <c r="C45" s="430" t="s">
        <v>4364</v>
      </c>
      <c r="E45" s="867">
        <v>43165</v>
      </c>
      <c r="F45" s="4"/>
      <c r="G45" s="4"/>
      <c r="H45" s="4"/>
      <c r="I45" s="4"/>
      <c r="J45" s="4"/>
      <c r="K45" s="10"/>
      <c r="M45" s="4"/>
      <c r="N45" s="4"/>
      <c r="O45" s="4"/>
      <c r="P45" s="4"/>
      <c r="Q45" s="4"/>
    </row>
    <row r="46" spans="3:17" x14ac:dyDescent="0.2">
      <c r="C46" s="5" t="s">
        <v>3980</v>
      </c>
      <c r="E46" s="867">
        <f>' '!B2</f>
        <v>43466</v>
      </c>
      <c r="F46" s="4"/>
      <c r="G46" s="4"/>
      <c r="H46" s="4"/>
      <c r="I46" s="4"/>
      <c r="J46" s="4"/>
      <c r="K46" s="10"/>
      <c r="L46" s="142"/>
      <c r="M46" s="4"/>
      <c r="N46" s="4"/>
      <c r="O46" s="4"/>
      <c r="P46" s="4"/>
      <c r="Q46" s="4"/>
    </row>
    <row r="47" spans="3:17" x14ac:dyDescent="0.2">
      <c r="C47" s="5" t="str">
        <f ca="1">IF(E46&lt;TODAY(),"Verlängerungscode:","")</f>
        <v/>
      </c>
      <c r="D47" s="4"/>
      <c r="E47" s="1822"/>
      <c r="F47" s="4"/>
      <c r="G47" s="4"/>
      <c r="H47" s="4"/>
      <c r="I47" s="4"/>
      <c r="J47" s="4"/>
      <c r="K47" s="10"/>
      <c r="M47" s="4"/>
      <c r="N47" s="4"/>
      <c r="O47" s="4"/>
      <c r="P47" s="4"/>
      <c r="Q47" s="4"/>
    </row>
    <row r="48" spans="3:17" ht="15" x14ac:dyDescent="0.25">
      <c r="C48" s="561" t="s">
        <v>3979</v>
      </c>
      <c r="D48" s="4"/>
      <c r="E48" s="4"/>
      <c r="F48" s="4"/>
      <c r="G48" s="4"/>
      <c r="H48" s="4"/>
      <c r="I48" s="4"/>
      <c r="J48" s="4"/>
      <c r="K48" s="10"/>
      <c r="L48" s="142"/>
      <c r="M48" s="4"/>
      <c r="N48" s="4"/>
      <c r="O48" s="4"/>
      <c r="P48" s="4"/>
      <c r="Q48" s="4"/>
    </row>
    <row r="49" spans="3:17" x14ac:dyDescent="0.2">
      <c r="C49" s="5"/>
      <c r="D49" s="4"/>
      <c r="E49" s="4"/>
      <c r="F49" s="4"/>
      <c r="G49" s="4"/>
      <c r="H49" s="4"/>
      <c r="I49" s="4"/>
      <c r="J49" s="4"/>
      <c r="K49" s="10"/>
      <c r="M49" s="4"/>
      <c r="N49" s="4"/>
      <c r="O49" s="4"/>
      <c r="P49" s="4"/>
      <c r="Q49" s="4"/>
    </row>
    <row r="50" spans="3:17" x14ac:dyDescent="0.2">
      <c r="C50" s="562" t="s">
        <v>4017</v>
      </c>
      <c r="D50" s="4"/>
      <c r="E50" s="4"/>
      <c r="F50" s="4"/>
      <c r="G50" s="4"/>
      <c r="H50" s="4"/>
      <c r="I50" s="4"/>
      <c r="J50" s="4"/>
      <c r="K50" s="10"/>
      <c r="M50" s="4"/>
      <c r="N50" s="4"/>
      <c r="O50" s="4"/>
      <c r="P50" s="4"/>
      <c r="Q50" s="4"/>
    </row>
    <row r="51" spans="3:17" x14ac:dyDescent="0.2">
      <c r="C51" s="562" t="s">
        <v>4018</v>
      </c>
      <c r="D51" s="4"/>
      <c r="E51" s="4"/>
      <c r="F51" s="4"/>
      <c r="G51" s="4"/>
      <c r="H51" s="4"/>
      <c r="I51" s="4"/>
      <c r="J51" s="4"/>
      <c r="K51" s="10"/>
      <c r="M51" s="4"/>
      <c r="N51" s="4"/>
      <c r="O51" s="4"/>
      <c r="P51" s="4"/>
      <c r="Q51" s="4"/>
    </row>
    <row r="52" spans="3:17" x14ac:dyDescent="0.2">
      <c r="C52" s="272"/>
      <c r="D52" s="4"/>
      <c r="E52" s="4"/>
      <c r="F52" s="4"/>
      <c r="G52" s="4"/>
      <c r="H52" s="4"/>
      <c r="I52" s="4"/>
      <c r="J52" s="4"/>
      <c r="K52" s="10"/>
      <c r="M52" s="4"/>
      <c r="N52" s="4"/>
      <c r="O52" s="4"/>
      <c r="P52" s="4"/>
      <c r="Q52" s="4"/>
    </row>
    <row r="53" spans="3:17" ht="15" x14ac:dyDescent="0.2">
      <c r="C53" s="563" t="s">
        <v>3981</v>
      </c>
      <c r="D53" s="4"/>
      <c r="E53" s="4"/>
      <c r="F53" s="4"/>
      <c r="G53" s="4"/>
      <c r="H53" s="4"/>
      <c r="I53" s="4"/>
      <c r="J53" s="4"/>
      <c r="K53" s="10"/>
      <c r="M53" s="4"/>
      <c r="N53" s="4"/>
      <c r="O53" s="4"/>
      <c r="P53" s="4"/>
      <c r="Q53" s="4"/>
    </row>
    <row r="54" spans="3:17" x14ac:dyDescent="0.2">
      <c r="C54" s="272" t="s">
        <v>3982</v>
      </c>
      <c r="D54" s="4"/>
      <c r="E54" s="4"/>
      <c r="F54" s="4"/>
      <c r="G54" s="4"/>
      <c r="H54" s="4"/>
      <c r="I54" s="4"/>
      <c r="J54" s="4"/>
      <c r="K54" s="10"/>
      <c r="M54" s="4"/>
      <c r="N54" s="4"/>
      <c r="O54" s="4"/>
      <c r="P54" s="4"/>
      <c r="Q54" s="4"/>
    </row>
    <row r="55" spans="3:17" x14ac:dyDescent="0.2">
      <c r="C55" s="272" t="s">
        <v>3983</v>
      </c>
      <c r="D55" s="4"/>
      <c r="E55" s="4"/>
      <c r="F55" s="4"/>
      <c r="G55" s="4"/>
      <c r="H55" s="4"/>
      <c r="I55" s="4"/>
      <c r="J55" s="4"/>
      <c r="K55" s="10"/>
      <c r="M55" s="4"/>
      <c r="N55" s="4"/>
      <c r="O55" s="4"/>
      <c r="P55" s="4"/>
      <c r="Q55" s="4"/>
    </row>
    <row r="56" spans="3:17" x14ac:dyDescent="0.2">
      <c r="C56" s="272" t="s">
        <v>3984</v>
      </c>
      <c r="D56" s="4"/>
      <c r="E56" s="4"/>
      <c r="F56" s="4"/>
      <c r="G56" s="4"/>
      <c r="H56" s="4"/>
      <c r="I56" s="4"/>
      <c r="J56" s="4"/>
      <c r="K56" s="10"/>
      <c r="M56" s="4"/>
      <c r="N56" s="4"/>
      <c r="O56" s="4"/>
      <c r="P56" s="4"/>
      <c r="Q56" s="4"/>
    </row>
    <row r="57" spans="3:17" x14ac:dyDescent="0.2">
      <c r="C57" s="272" t="s">
        <v>3985</v>
      </c>
      <c r="D57" s="4"/>
      <c r="E57" s="4"/>
      <c r="F57" s="4"/>
      <c r="G57" s="4"/>
      <c r="H57" s="4"/>
      <c r="I57" s="4"/>
      <c r="J57" s="4"/>
      <c r="K57" s="10"/>
      <c r="M57" s="4"/>
      <c r="N57" s="4"/>
      <c r="O57" s="4"/>
      <c r="P57" s="4"/>
      <c r="Q57" s="4"/>
    </row>
    <row r="58" spans="3:17" x14ac:dyDescent="0.2">
      <c r="C58" s="5" t="s">
        <v>4019</v>
      </c>
      <c r="D58" s="4"/>
      <c r="E58" s="4"/>
      <c r="F58" s="4"/>
      <c r="G58" s="4"/>
      <c r="H58" s="4"/>
      <c r="I58" s="4"/>
      <c r="J58" s="4"/>
      <c r="K58" s="10"/>
      <c r="M58" s="4"/>
      <c r="N58" s="4"/>
      <c r="O58" s="4"/>
      <c r="P58" s="4"/>
      <c r="Q58" s="4"/>
    </row>
    <row r="59" spans="3:17" x14ac:dyDescent="0.2">
      <c r="C59" s="272"/>
      <c r="D59" s="4"/>
      <c r="E59" s="4"/>
      <c r="F59" s="4"/>
      <c r="G59" s="4"/>
      <c r="H59" s="4"/>
      <c r="I59" s="4"/>
      <c r="J59" s="4"/>
      <c r="K59" s="10"/>
      <c r="M59" s="4"/>
      <c r="N59" s="4"/>
      <c r="O59" s="4"/>
      <c r="P59" s="4"/>
      <c r="Q59" s="4"/>
    </row>
    <row r="60" spans="3:17" ht="15" x14ac:dyDescent="0.2">
      <c r="C60" s="563" t="s">
        <v>3986</v>
      </c>
      <c r="D60" s="4"/>
      <c r="E60" s="4"/>
      <c r="F60" s="4"/>
      <c r="G60" s="4"/>
      <c r="H60" s="4"/>
      <c r="I60" s="4"/>
      <c r="J60" s="4"/>
      <c r="K60" s="10"/>
      <c r="M60" s="4"/>
      <c r="N60" s="4"/>
      <c r="O60" s="4"/>
      <c r="P60" s="4"/>
      <c r="Q60" s="4"/>
    </row>
    <row r="61" spans="3:17" x14ac:dyDescent="0.2">
      <c r="C61" s="273" t="s">
        <v>3648</v>
      </c>
      <c r="D61" s="4"/>
      <c r="E61" s="4"/>
      <c r="F61" s="4"/>
      <c r="G61" s="4"/>
      <c r="H61" s="4"/>
      <c r="I61" s="4"/>
      <c r="J61" s="4"/>
      <c r="K61" s="10"/>
      <c r="M61" s="4"/>
      <c r="N61" s="4"/>
      <c r="O61" s="4"/>
      <c r="P61" s="4"/>
      <c r="Q61" s="4"/>
    </row>
    <row r="62" spans="3:17" x14ac:dyDescent="0.2">
      <c r="C62" s="272" t="s">
        <v>3987</v>
      </c>
      <c r="D62" s="4"/>
      <c r="E62" s="4"/>
      <c r="F62" s="4"/>
      <c r="G62" s="4"/>
      <c r="H62" s="4"/>
      <c r="I62" s="4"/>
      <c r="J62" s="4"/>
      <c r="K62" s="10"/>
      <c r="M62" s="4"/>
      <c r="N62" s="4"/>
      <c r="O62" s="4"/>
      <c r="P62" s="4"/>
      <c r="Q62" s="4"/>
    </row>
    <row r="63" spans="3:17" x14ac:dyDescent="0.2">
      <c r="C63" s="272" t="s">
        <v>3988</v>
      </c>
      <c r="D63" s="4"/>
      <c r="E63" s="4"/>
      <c r="F63" s="4"/>
      <c r="G63" s="4"/>
      <c r="H63" s="4"/>
      <c r="I63" s="4"/>
      <c r="J63" s="4"/>
      <c r="K63" s="10"/>
      <c r="M63" s="4"/>
      <c r="N63" s="4"/>
      <c r="O63" s="4"/>
      <c r="P63" s="4"/>
      <c r="Q63" s="4"/>
    </row>
    <row r="64" spans="3:17" x14ac:dyDescent="0.2">
      <c r="C64" s="272" t="s">
        <v>3989</v>
      </c>
      <c r="D64" s="4"/>
      <c r="E64" s="4"/>
      <c r="F64" s="4"/>
      <c r="G64" s="4"/>
      <c r="H64" s="4"/>
      <c r="I64" s="4"/>
      <c r="J64" s="4"/>
      <c r="K64" s="10"/>
      <c r="M64" s="4"/>
      <c r="N64" s="4"/>
      <c r="O64" s="4"/>
      <c r="P64" s="4"/>
      <c r="Q64" s="4"/>
    </row>
    <row r="65" spans="3:17" x14ac:dyDescent="0.2">
      <c r="C65" s="272" t="s">
        <v>3990</v>
      </c>
      <c r="D65" s="4"/>
      <c r="E65" s="4"/>
      <c r="F65" s="4"/>
      <c r="G65" s="4"/>
      <c r="H65" s="4"/>
      <c r="I65" s="4"/>
      <c r="J65" s="4"/>
      <c r="K65" s="10"/>
      <c r="M65" s="4"/>
      <c r="N65" s="4"/>
      <c r="O65" s="4"/>
      <c r="P65" s="4"/>
      <c r="Q65" s="4"/>
    </row>
    <row r="66" spans="3:17" x14ac:dyDescent="0.2">
      <c r="C66" s="272" t="s">
        <v>3991</v>
      </c>
      <c r="D66" s="4"/>
      <c r="E66" s="4"/>
      <c r="F66" s="4"/>
      <c r="G66" s="4"/>
      <c r="H66" s="4"/>
      <c r="I66" s="4"/>
      <c r="J66" s="4"/>
      <c r="K66" s="10"/>
      <c r="M66" s="4"/>
      <c r="N66" s="4"/>
      <c r="O66" s="4"/>
      <c r="P66" s="4"/>
      <c r="Q66" s="4"/>
    </row>
    <row r="67" spans="3:17" x14ac:dyDescent="0.2">
      <c r="C67" s="272"/>
      <c r="D67" s="4"/>
      <c r="E67" s="4"/>
      <c r="F67" s="4"/>
      <c r="G67" s="4"/>
      <c r="H67" s="4"/>
      <c r="I67" s="4"/>
      <c r="J67" s="4"/>
      <c r="K67" s="10"/>
      <c r="M67" s="4"/>
      <c r="N67" s="4"/>
      <c r="O67" s="4"/>
      <c r="P67" s="4"/>
      <c r="Q67" s="4"/>
    </row>
    <row r="68" spans="3:17" x14ac:dyDescent="0.2">
      <c r="C68" s="273" t="s">
        <v>3311</v>
      </c>
      <c r="D68" s="4"/>
      <c r="E68" s="4"/>
      <c r="F68" s="4"/>
      <c r="G68" s="4"/>
      <c r="H68" s="4"/>
      <c r="I68" s="4"/>
      <c r="J68" s="4"/>
      <c r="K68" s="10"/>
      <c r="M68" s="4"/>
      <c r="N68" s="4"/>
      <c r="O68" s="4"/>
      <c r="P68" s="4"/>
      <c r="Q68" s="4"/>
    </row>
    <row r="69" spans="3:17" x14ac:dyDescent="0.2">
      <c r="C69" s="272" t="s">
        <v>3992</v>
      </c>
      <c r="D69" s="4"/>
      <c r="E69" s="4"/>
      <c r="F69" s="4"/>
      <c r="G69" s="4"/>
      <c r="H69" s="4"/>
      <c r="I69" s="4"/>
      <c r="J69" s="4"/>
      <c r="K69" s="10"/>
      <c r="M69" s="4"/>
      <c r="N69" s="4"/>
      <c r="O69" s="4"/>
      <c r="P69" s="4"/>
      <c r="Q69" s="4"/>
    </row>
    <row r="70" spans="3:17" x14ac:dyDescent="0.2">
      <c r="C70" s="272" t="s">
        <v>3993</v>
      </c>
      <c r="D70" s="4"/>
      <c r="E70" s="4"/>
      <c r="F70" s="4"/>
      <c r="G70" s="4"/>
      <c r="H70" s="4"/>
      <c r="I70" s="4"/>
      <c r="J70" s="4"/>
      <c r="K70" s="10"/>
      <c r="M70" s="4"/>
      <c r="N70" s="4"/>
      <c r="O70" s="4"/>
      <c r="P70" s="4"/>
      <c r="Q70" s="4"/>
    </row>
    <row r="71" spans="3:17" x14ac:dyDescent="0.2">
      <c r="C71" s="272" t="s">
        <v>3994</v>
      </c>
      <c r="D71" s="4"/>
      <c r="E71" s="4"/>
      <c r="F71" s="4"/>
      <c r="G71" s="4"/>
      <c r="H71" s="4"/>
      <c r="I71" s="4"/>
      <c r="J71" s="4"/>
      <c r="K71" s="10"/>
      <c r="M71" s="4"/>
      <c r="N71" s="4"/>
      <c r="O71" s="4"/>
      <c r="P71" s="4"/>
      <c r="Q71" s="4"/>
    </row>
    <row r="72" spans="3:17" x14ac:dyDescent="0.2">
      <c r="C72" s="272" t="s">
        <v>3995</v>
      </c>
      <c r="D72" s="4"/>
      <c r="E72" s="4"/>
      <c r="F72" s="4"/>
      <c r="G72" s="4"/>
      <c r="H72" s="4"/>
      <c r="I72" s="4"/>
      <c r="J72" s="4"/>
      <c r="K72" s="10"/>
      <c r="M72" s="4"/>
      <c r="N72" s="4"/>
      <c r="O72" s="4"/>
      <c r="P72" s="4"/>
      <c r="Q72" s="4"/>
    </row>
    <row r="73" spans="3:17" x14ac:dyDescent="0.2">
      <c r="C73" s="272" t="s">
        <v>3996</v>
      </c>
      <c r="D73" s="4"/>
      <c r="E73" s="4"/>
      <c r="F73" s="4"/>
      <c r="G73" s="4"/>
      <c r="H73" s="4"/>
      <c r="I73" s="4"/>
      <c r="J73" s="4"/>
      <c r="K73" s="10"/>
      <c r="M73" s="4"/>
      <c r="N73" s="4"/>
      <c r="O73" s="4"/>
      <c r="P73" s="4"/>
      <c r="Q73" s="4"/>
    </row>
    <row r="74" spans="3:17" x14ac:dyDescent="0.2">
      <c r="C74" s="272"/>
      <c r="D74" s="4"/>
      <c r="E74" s="4"/>
      <c r="F74" s="4"/>
      <c r="G74" s="4"/>
      <c r="H74" s="4"/>
      <c r="I74" s="4"/>
      <c r="J74" s="4"/>
      <c r="K74" s="10"/>
      <c r="M74" s="4"/>
      <c r="N74" s="4"/>
      <c r="O74" s="4"/>
      <c r="P74" s="4"/>
      <c r="Q74" s="4"/>
    </row>
    <row r="75" spans="3:17" x14ac:dyDescent="0.2">
      <c r="C75" s="273" t="s">
        <v>3650</v>
      </c>
      <c r="D75" s="4"/>
      <c r="E75" s="4"/>
      <c r="F75" s="4"/>
      <c r="G75" s="4"/>
      <c r="H75" s="4"/>
      <c r="I75" s="4"/>
      <c r="J75" s="4"/>
      <c r="K75" s="10"/>
      <c r="M75" s="4"/>
      <c r="N75" s="4"/>
      <c r="O75" s="4"/>
      <c r="P75" s="4"/>
      <c r="Q75" s="4"/>
    </row>
    <row r="76" spans="3:17" x14ac:dyDescent="0.2">
      <c r="C76" s="272" t="s">
        <v>3997</v>
      </c>
      <c r="D76" s="4"/>
      <c r="E76" s="4"/>
      <c r="F76" s="4"/>
      <c r="G76" s="4"/>
      <c r="H76" s="4"/>
      <c r="I76" s="4"/>
      <c r="J76" s="4"/>
      <c r="K76" s="10"/>
      <c r="M76" s="4"/>
      <c r="N76" s="4"/>
      <c r="O76" s="4"/>
      <c r="P76" s="4"/>
      <c r="Q76" s="4"/>
    </row>
    <row r="77" spans="3:17" x14ac:dyDescent="0.2">
      <c r="C77" s="272" t="s">
        <v>3998</v>
      </c>
      <c r="D77" s="4"/>
      <c r="E77" s="4"/>
      <c r="F77" s="4"/>
      <c r="G77" s="4"/>
      <c r="H77" s="4"/>
      <c r="I77" s="4"/>
      <c r="J77" s="4"/>
      <c r="K77" s="10"/>
      <c r="M77" s="4"/>
      <c r="N77" s="4"/>
      <c r="O77" s="4"/>
      <c r="P77" s="4"/>
      <c r="Q77" s="4"/>
    </row>
    <row r="78" spans="3:17" x14ac:dyDescent="0.2">
      <c r="C78" s="272" t="s">
        <v>3999</v>
      </c>
      <c r="D78" s="4"/>
      <c r="E78" s="4"/>
      <c r="F78" s="4"/>
      <c r="G78" s="4"/>
      <c r="H78" s="4"/>
      <c r="I78" s="4"/>
      <c r="J78" s="4"/>
      <c r="K78" s="10"/>
      <c r="M78" s="4"/>
      <c r="N78" s="4"/>
      <c r="O78" s="4"/>
      <c r="P78" s="4"/>
      <c r="Q78" s="4"/>
    </row>
    <row r="79" spans="3:17" x14ac:dyDescent="0.2">
      <c r="C79" s="272" t="s">
        <v>4000</v>
      </c>
      <c r="D79" s="4"/>
      <c r="E79" s="4"/>
      <c r="F79" s="4"/>
      <c r="G79" s="4"/>
      <c r="H79" s="4"/>
      <c r="I79" s="4"/>
      <c r="J79" s="4"/>
      <c r="K79" s="10"/>
      <c r="M79" s="4"/>
      <c r="N79" s="4"/>
      <c r="O79" s="4"/>
      <c r="P79" s="4"/>
      <c r="Q79" s="4"/>
    </row>
    <row r="80" spans="3:17" x14ac:dyDescent="0.2">
      <c r="C80" s="272" t="s">
        <v>4001</v>
      </c>
      <c r="D80" s="4"/>
      <c r="E80" s="4"/>
      <c r="F80" s="4"/>
      <c r="G80" s="4"/>
      <c r="H80" s="4"/>
      <c r="I80" s="4"/>
      <c r="J80" s="4"/>
      <c r="K80" s="10"/>
      <c r="M80" s="4"/>
      <c r="N80" s="4"/>
      <c r="O80" s="4"/>
      <c r="P80" s="4"/>
      <c r="Q80" s="4"/>
    </row>
    <row r="81" spans="3:17" x14ac:dyDescent="0.2">
      <c r="C81" s="272"/>
      <c r="D81" s="4"/>
      <c r="E81" s="4"/>
      <c r="F81" s="4"/>
      <c r="G81" s="4"/>
      <c r="H81" s="4"/>
      <c r="I81" s="4"/>
      <c r="J81" s="4"/>
      <c r="K81" s="10"/>
      <c r="M81" s="4"/>
      <c r="N81" s="4"/>
      <c r="O81" s="4"/>
      <c r="P81" s="4"/>
      <c r="Q81" s="4"/>
    </row>
    <row r="82" spans="3:17" x14ac:dyDescent="0.2">
      <c r="C82" s="273" t="s">
        <v>3651</v>
      </c>
      <c r="D82" s="4"/>
      <c r="E82" s="4"/>
      <c r="F82" s="4"/>
      <c r="G82" s="4"/>
      <c r="H82" s="4"/>
      <c r="I82" s="4"/>
      <c r="J82" s="4"/>
      <c r="K82" s="10"/>
      <c r="M82" s="4"/>
      <c r="N82" s="4"/>
      <c r="O82" s="4"/>
      <c r="P82" s="4"/>
      <c r="Q82" s="4"/>
    </row>
    <row r="83" spans="3:17" x14ac:dyDescent="0.2">
      <c r="C83" s="272" t="s">
        <v>4002</v>
      </c>
      <c r="D83" s="4"/>
      <c r="E83" s="4"/>
      <c r="F83" s="4"/>
      <c r="G83" s="4"/>
      <c r="H83" s="4"/>
      <c r="I83" s="4"/>
      <c r="J83" s="4"/>
      <c r="K83" s="10"/>
      <c r="M83" s="4"/>
      <c r="N83" s="4"/>
      <c r="O83" s="4"/>
      <c r="P83" s="4"/>
      <c r="Q83" s="4"/>
    </row>
    <row r="84" spans="3:17" x14ac:dyDescent="0.2">
      <c r="C84" s="272" t="s">
        <v>4003</v>
      </c>
      <c r="D84" s="4"/>
      <c r="E84" s="4"/>
      <c r="F84" s="4"/>
      <c r="G84" s="4"/>
      <c r="H84" s="4"/>
      <c r="I84" s="4"/>
      <c r="J84" s="4"/>
      <c r="K84" s="10"/>
      <c r="M84" s="4"/>
      <c r="N84" s="4"/>
      <c r="O84" s="4"/>
      <c r="P84" s="4"/>
      <c r="Q84" s="4"/>
    </row>
    <row r="85" spans="3:17" x14ac:dyDescent="0.2">
      <c r="C85" s="272" t="s">
        <v>4004</v>
      </c>
      <c r="D85" s="4"/>
      <c r="E85" s="4"/>
      <c r="F85" s="4"/>
      <c r="G85" s="4"/>
      <c r="H85" s="4"/>
      <c r="I85" s="4"/>
      <c r="J85" s="4"/>
      <c r="K85" s="10"/>
      <c r="M85" s="4"/>
      <c r="N85" s="4"/>
      <c r="O85" s="4"/>
      <c r="P85" s="4"/>
      <c r="Q85" s="4"/>
    </row>
    <row r="86" spans="3:17" x14ac:dyDescent="0.2">
      <c r="C86" s="272" t="s">
        <v>4005</v>
      </c>
      <c r="D86" s="4"/>
      <c r="E86" s="4"/>
      <c r="F86" s="4"/>
      <c r="G86" s="4"/>
      <c r="H86" s="4"/>
      <c r="I86" s="4"/>
      <c r="J86" s="4"/>
      <c r="K86" s="10"/>
      <c r="M86" s="4"/>
      <c r="N86" s="4"/>
      <c r="O86" s="4"/>
      <c r="P86" s="4"/>
      <c r="Q86" s="4"/>
    </row>
    <row r="87" spans="3:17" x14ac:dyDescent="0.2">
      <c r="C87" s="272" t="s">
        <v>4006</v>
      </c>
      <c r="D87" s="4"/>
      <c r="E87" s="4"/>
      <c r="F87" s="4"/>
      <c r="G87" s="4"/>
      <c r="H87" s="4"/>
      <c r="I87" s="4"/>
      <c r="J87" s="4"/>
      <c r="K87" s="10"/>
      <c r="M87" s="4"/>
      <c r="N87" s="4"/>
      <c r="O87" s="4"/>
      <c r="P87" s="4"/>
      <c r="Q87" s="4"/>
    </row>
    <row r="88" spans="3:17" x14ac:dyDescent="0.2">
      <c r="C88" s="272"/>
      <c r="D88" s="4"/>
      <c r="E88" s="4"/>
      <c r="F88" s="4"/>
      <c r="G88" s="4"/>
      <c r="H88" s="4"/>
      <c r="I88" s="4"/>
      <c r="J88" s="4"/>
      <c r="K88" s="10"/>
      <c r="M88" s="4"/>
      <c r="N88" s="4"/>
      <c r="O88" s="4"/>
      <c r="P88" s="4"/>
      <c r="Q88" s="4"/>
    </row>
    <row r="89" spans="3:17" ht="15" x14ac:dyDescent="0.2">
      <c r="C89" s="563" t="s">
        <v>4007</v>
      </c>
      <c r="D89" s="4"/>
      <c r="E89" s="4"/>
      <c r="F89" s="4"/>
      <c r="G89" s="4"/>
      <c r="H89" s="4"/>
      <c r="I89" s="4"/>
      <c r="J89" s="4"/>
      <c r="K89" s="10"/>
      <c r="M89" s="4"/>
      <c r="N89" s="4"/>
      <c r="O89" s="4"/>
      <c r="P89" s="4"/>
      <c r="Q89" s="4"/>
    </row>
    <row r="90" spans="3:17" x14ac:dyDescent="0.2">
      <c r="C90" s="272" t="s">
        <v>4008</v>
      </c>
      <c r="D90" s="4"/>
      <c r="E90" s="4"/>
      <c r="F90" s="4"/>
      <c r="G90" s="4"/>
      <c r="H90" s="4"/>
      <c r="I90" s="4"/>
      <c r="J90" s="4"/>
      <c r="K90" s="10"/>
      <c r="M90" s="4"/>
      <c r="N90" s="4"/>
      <c r="O90" s="4"/>
      <c r="P90" s="4"/>
      <c r="Q90" s="4"/>
    </row>
    <row r="91" spans="3:17" x14ac:dyDescent="0.2">
      <c r="C91" s="272" t="s">
        <v>3988</v>
      </c>
      <c r="D91" s="4"/>
      <c r="E91" s="4"/>
      <c r="F91" s="4"/>
      <c r="G91" s="4"/>
      <c r="H91" s="4"/>
      <c r="I91" s="4"/>
      <c r="J91" s="4"/>
      <c r="K91" s="10"/>
      <c r="M91" s="4"/>
      <c r="N91" s="4"/>
      <c r="O91" s="4"/>
      <c r="P91" s="4"/>
      <c r="Q91" s="4"/>
    </row>
    <row r="92" spans="3:17" x14ac:dyDescent="0.2">
      <c r="C92" s="272" t="s">
        <v>3989</v>
      </c>
      <c r="D92" s="4"/>
      <c r="E92" s="4"/>
      <c r="F92" s="4"/>
      <c r="G92" s="4"/>
      <c r="H92" s="4"/>
      <c r="I92" s="4"/>
      <c r="J92" s="4"/>
      <c r="K92" s="10"/>
      <c r="M92" s="4"/>
      <c r="N92" s="4"/>
      <c r="O92" s="4"/>
      <c r="P92" s="4"/>
      <c r="Q92" s="4"/>
    </row>
    <row r="93" spans="3:17" x14ac:dyDescent="0.2">
      <c r="C93" s="272" t="s">
        <v>4009</v>
      </c>
      <c r="D93" s="4"/>
      <c r="E93" s="4"/>
      <c r="F93" s="4"/>
      <c r="G93" s="4"/>
      <c r="H93" s="4"/>
      <c r="I93" s="4"/>
      <c r="J93" s="4"/>
      <c r="K93" s="10"/>
      <c r="M93" s="4"/>
      <c r="N93" s="4"/>
      <c r="O93" s="4"/>
      <c r="P93" s="4"/>
      <c r="Q93" s="4"/>
    </row>
    <row r="94" spans="3:17" x14ac:dyDescent="0.2">
      <c r="C94" s="272" t="s">
        <v>4010</v>
      </c>
      <c r="D94" s="4"/>
      <c r="E94" s="4"/>
      <c r="F94" s="4"/>
      <c r="G94" s="4"/>
      <c r="H94" s="4"/>
      <c r="I94" s="4"/>
      <c r="J94" s="4"/>
      <c r="K94" s="10"/>
      <c r="M94" s="4"/>
      <c r="N94" s="4"/>
      <c r="O94" s="4"/>
      <c r="P94" s="4"/>
      <c r="Q94" s="4"/>
    </row>
    <row r="95" spans="3:17" x14ac:dyDescent="0.2">
      <c r="C95" s="272" t="s">
        <v>4011</v>
      </c>
      <c r="D95" s="4"/>
      <c r="E95" s="4"/>
      <c r="F95" s="4"/>
      <c r="G95" s="4"/>
      <c r="H95" s="4"/>
      <c r="I95" s="4"/>
      <c r="J95" s="4"/>
      <c r="K95" s="10"/>
      <c r="M95" s="4"/>
      <c r="N95" s="4"/>
      <c r="O95" s="4"/>
      <c r="P95" s="4"/>
      <c r="Q95" s="4"/>
    </row>
    <row r="96" spans="3:17" x14ac:dyDescent="0.2">
      <c r="C96" s="560"/>
      <c r="D96" s="4"/>
      <c r="E96" s="4"/>
      <c r="F96" s="4"/>
      <c r="G96" s="4"/>
      <c r="H96" s="4"/>
      <c r="I96" s="4"/>
      <c r="J96" s="4"/>
      <c r="K96" s="10"/>
      <c r="M96" s="4"/>
      <c r="N96" s="4"/>
      <c r="O96" s="4"/>
      <c r="P96" s="4"/>
      <c r="Q96" s="4"/>
    </row>
    <row r="97" spans="3:17" ht="15" x14ac:dyDescent="0.2">
      <c r="C97" s="563" t="s">
        <v>4389</v>
      </c>
      <c r="D97" s="4"/>
      <c r="E97" s="4"/>
      <c r="F97" s="4"/>
      <c r="G97" s="4"/>
      <c r="H97" s="4"/>
      <c r="I97" s="4"/>
      <c r="J97" s="4"/>
      <c r="K97" s="10"/>
      <c r="M97" s="4"/>
      <c r="N97" s="4"/>
      <c r="O97" s="4"/>
      <c r="P97" s="4"/>
      <c r="Q97" s="4"/>
    </row>
    <row r="98" spans="3:17" x14ac:dyDescent="0.2">
      <c r="C98" s="560" t="s">
        <v>4012</v>
      </c>
      <c r="D98" s="4"/>
      <c r="E98" s="4"/>
      <c r="F98" s="4"/>
      <c r="G98" s="4"/>
      <c r="H98" s="4"/>
      <c r="I98" s="4"/>
      <c r="J98" s="4"/>
      <c r="K98" s="10"/>
      <c r="M98" s="4"/>
      <c r="N98" s="4"/>
      <c r="O98" s="4"/>
      <c r="P98" s="4"/>
      <c r="Q98" s="4"/>
    </row>
    <row r="99" spans="3:17" x14ac:dyDescent="0.2">
      <c r="C99" s="560" t="s">
        <v>4013</v>
      </c>
      <c r="D99" s="4"/>
      <c r="E99" s="4"/>
      <c r="F99" s="4"/>
      <c r="G99" s="4"/>
      <c r="H99" s="4"/>
      <c r="I99" s="4"/>
      <c r="J99" s="4"/>
      <c r="K99" s="10"/>
      <c r="M99" s="4"/>
      <c r="N99" s="4"/>
      <c r="O99" s="4"/>
      <c r="P99" s="4"/>
      <c r="Q99" s="4"/>
    </row>
    <row r="100" spans="3:17" x14ac:dyDescent="0.2">
      <c r="C100" s="560" t="s">
        <v>4014</v>
      </c>
      <c r="D100" s="4"/>
      <c r="E100" s="4"/>
      <c r="F100" s="4"/>
      <c r="G100" s="4"/>
      <c r="H100" s="4"/>
      <c r="I100" s="4"/>
      <c r="J100" s="4"/>
      <c r="K100" s="10"/>
      <c r="M100" s="4"/>
      <c r="N100" s="4"/>
      <c r="O100" s="4"/>
      <c r="P100" s="4"/>
      <c r="Q100" s="4"/>
    </row>
    <row r="101" spans="3:17" x14ac:dyDescent="0.2">
      <c r="C101" s="560" t="s">
        <v>4015</v>
      </c>
      <c r="D101" s="4"/>
      <c r="E101" s="4"/>
      <c r="F101" s="4"/>
      <c r="G101" s="4"/>
      <c r="H101" s="4"/>
      <c r="I101" s="4"/>
      <c r="J101" s="4"/>
      <c r="K101" s="10"/>
      <c r="M101" s="4"/>
      <c r="N101" s="4"/>
      <c r="O101" s="4"/>
      <c r="P101" s="4"/>
      <c r="Q101" s="4"/>
    </row>
    <row r="102" spans="3:17" x14ac:dyDescent="0.2">
      <c r="C102" s="560"/>
      <c r="D102" s="4"/>
      <c r="E102" s="4"/>
      <c r="F102" s="4"/>
      <c r="G102" s="4"/>
      <c r="H102" s="4"/>
      <c r="I102" s="4"/>
      <c r="J102" s="4"/>
      <c r="K102" s="10"/>
      <c r="M102" s="4"/>
      <c r="N102" s="4"/>
      <c r="O102" s="4"/>
      <c r="P102" s="4"/>
      <c r="Q102" s="4"/>
    </row>
    <row r="103" spans="3:17" ht="15" x14ac:dyDescent="0.25">
      <c r="C103" s="561" t="s">
        <v>4016</v>
      </c>
      <c r="D103" s="4"/>
      <c r="E103" s="4"/>
      <c r="F103" s="4"/>
      <c r="G103" s="4"/>
      <c r="H103" s="4"/>
      <c r="I103" s="4"/>
      <c r="J103" s="4"/>
      <c r="K103" s="10"/>
      <c r="L103" s="142"/>
      <c r="M103" s="4"/>
      <c r="N103" s="4"/>
      <c r="O103" s="4"/>
      <c r="P103" s="4"/>
      <c r="Q103" s="4"/>
    </row>
    <row r="104" spans="3:17" x14ac:dyDescent="0.2">
      <c r="C104" s="5" t="s">
        <v>4784</v>
      </c>
      <c r="D104" s="4"/>
      <c r="E104" s="4"/>
      <c r="F104" s="4"/>
      <c r="G104" s="4"/>
      <c r="H104" s="4"/>
      <c r="I104" s="4"/>
      <c r="J104" s="4"/>
      <c r="K104" s="10"/>
      <c r="M104" s="4"/>
      <c r="N104" s="4"/>
      <c r="O104" s="4"/>
      <c r="P104" s="4"/>
      <c r="Q104" s="4"/>
    </row>
    <row r="105" spans="3:17" x14ac:dyDescent="0.2">
      <c r="C105" s="5" t="s">
        <v>4785</v>
      </c>
      <c r="D105" s="4"/>
      <c r="E105" s="4"/>
      <c r="F105" s="4"/>
      <c r="G105" s="4"/>
      <c r="H105" s="4"/>
      <c r="I105" s="4"/>
      <c r="J105" s="4"/>
      <c r="K105" s="10"/>
      <c r="M105" s="4"/>
      <c r="N105" s="4"/>
      <c r="O105" s="4"/>
      <c r="P105" s="4"/>
      <c r="Q105" s="4"/>
    </row>
    <row r="106" spans="3:17" x14ac:dyDescent="0.2">
      <c r="C106" s="1712" t="s">
        <v>4786</v>
      </c>
      <c r="D106" s="4"/>
      <c r="E106" s="4"/>
      <c r="F106" s="4"/>
      <c r="G106" s="4"/>
      <c r="H106" s="4"/>
      <c r="I106" s="4"/>
      <c r="J106" s="4"/>
      <c r="K106" s="10"/>
      <c r="M106" s="4"/>
      <c r="N106" s="4"/>
      <c r="O106" s="4"/>
      <c r="P106" s="4"/>
      <c r="Q106" s="4"/>
    </row>
    <row r="107" spans="3:17" x14ac:dyDescent="0.2">
      <c r="C107" s="1712"/>
      <c r="D107" s="4"/>
      <c r="E107" s="4"/>
      <c r="F107" s="4"/>
      <c r="G107" s="4"/>
      <c r="H107" s="4"/>
      <c r="I107" s="4"/>
      <c r="J107" s="4"/>
      <c r="K107" s="10"/>
      <c r="M107" s="4"/>
      <c r="N107" s="4"/>
      <c r="O107" s="4"/>
      <c r="P107" s="4"/>
      <c r="Q107" s="4"/>
    </row>
    <row r="108" spans="3:17" ht="15" x14ac:dyDescent="0.25">
      <c r="C108" s="561" t="s">
        <v>4788</v>
      </c>
      <c r="D108" s="4"/>
      <c r="E108" s="4"/>
      <c r="F108" s="4"/>
      <c r="G108" s="4"/>
      <c r="H108" s="4"/>
      <c r="I108" s="4"/>
      <c r="J108" s="4"/>
      <c r="K108" s="10"/>
      <c r="L108" s="142"/>
      <c r="M108" s="4"/>
      <c r="N108" s="4"/>
      <c r="O108" s="4"/>
      <c r="P108" s="4"/>
      <c r="Q108" s="4"/>
    </row>
    <row r="109" spans="3:17" x14ac:dyDescent="0.2">
      <c r="C109" s="5" t="s">
        <v>4827</v>
      </c>
      <c r="D109" s="4"/>
      <c r="E109" s="4"/>
      <c r="F109" s="4"/>
      <c r="G109" s="4"/>
      <c r="H109" s="4"/>
      <c r="I109" s="4"/>
      <c r="J109" s="4"/>
      <c r="K109" s="10"/>
      <c r="M109" s="4"/>
      <c r="N109" s="4"/>
      <c r="O109" s="4"/>
      <c r="P109" s="4"/>
      <c r="Q109" s="4"/>
    </row>
    <row r="110" spans="3:17" x14ac:dyDescent="0.2">
      <c r="C110" s="5"/>
      <c r="D110" s="4"/>
      <c r="E110" s="4"/>
      <c r="F110" s="4"/>
      <c r="G110" s="4"/>
      <c r="H110" s="4"/>
      <c r="I110" s="4"/>
      <c r="J110" s="4"/>
      <c r="K110" s="10"/>
      <c r="M110" s="4"/>
      <c r="N110" s="4"/>
      <c r="O110" s="4"/>
      <c r="P110" s="4"/>
      <c r="Q110" s="4"/>
    </row>
    <row r="111" spans="3:17" x14ac:dyDescent="0.2">
      <c r="C111" s="1712"/>
      <c r="D111" s="4"/>
      <c r="E111" s="4"/>
      <c r="F111" s="4"/>
      <c r="G111" s="4"/>
      <c r="H111" s="4"/>
      <c r="I111" s="4"/>
      <c r="J111" s="4"/>
      <c r="K111" s="10"/>
      <c r="M111" s="4"/>
      <c r="N111" s="4"/>
      <c r="O111" s="4"/>
      <c r="P111" s="4"/>
      <c r="Q111" s="4"/>
    </row>
    <row r="112" spans="3:17" x14ac:dyDescent="0.2">
      <c r="C112" s="1712"/>
      <c r="D112" s="4"/>
      <c r="E112" s="4"/>
      <c r="F112" s="4"/>
      <c r="G112" s="4"/>
      <c r="H112" s="4"/>
      <c r="I112" s="4"/>
      <c r="J112" s="4"/>
      <c r="K112" s="10"/>
      <c r="M112" s="4"/>
      <c r="N112" s="4"/>
      <c r="O112" s="4"/>
      <c r="P112" s="4"/>
      <c r="Q112" s="4"/>
    </row>
    <row r="113" spans="3:17" ht="15" x14ac:dyDescent="0.25">
      <c r="C113" s="561" t="s">
        <v>4783</v>
      </c>
      <c r="D113" s="4"/>
      <c r="E113" s="4"/>
      <c r="F113" s="4"/>
      <c r="G113" s="4"/>
      <c r="H113" s="4"/>
      <c r="I113" s="4"/>
      <c r="J113" s="4"/>
      <c r="K113" s="10"/>
      <c r="L113" s="142"/>
      <c r="M113" s="4"/>
      <c r="N113" s="4"/>
      <c r="O113" s="4"/>
      <c r="P113" s="4"/>
      <c r="Q113" s="4"/>
    </row>
    <row r="114" spans="3:17" x14ac:dyDescent="0.2">
      <c r="C114" s="560" t="s">
        <v>4460</v>
      </c>
      <c r="D114" s="4"/>
      <c r="E114" s="4"/>
      <c r="F114" s="4"/>
      <c r="G114" s="4"/>
      <c r="H114" s="4"/>
      <c r="I114" s="4"/>
      <c r="J114" s="4"/>
      <c r="K114" s="10"/>
      <c r="M114" s="4"/>
      <c r="N114" s="4"/>
      <c r="O114" s="4"/>
      <c r="P114" s="4"/>
      <c r="Q114" s="4"/>
    </row>
    <row r="115" spans="3:17" x14ac:dyDescent="0.2">
      <c r="C115" s="560" t="s">
        <v>4459</v>
      </c>
      <c r="D115" s="4"/>
      <c r="E115" s="4"/>
      <c r="F115" s="4"/>
      <c r="G115" s="4"/>
      <c r="H115" s="4"/>
      <c r="I115" s="4"/>
      <c r="J115" s="4"/>
      <c r="K115" s="10"/>
      <c r="M115" s="4"/>
      <c r="N115" s="4"/>
      <c r="O115" s="4"/>
      <c r="P115" s="4"/>
      <c r="Q115" s="4"/>
    </row>
    <row r="116" spans="3:17" x14ac:dyDescent="0.2">
      <c r="C116" s="560"/>
      <c r="D116" s="4"/>
      <c r="E116" s="4"/>
      <c r="F116" s="4"/>
      <c r="G116" s="4"/>
      <c r="H116" s="4"/>
      <c r="I116" s="4"/>
      <c r="J116" s="4"/>
      <c r="K116" s="10"/>
      <c r="M116" s="4"/>
      <c r="N116" s="4"/>
      <c r="O116" s="4"/>
      <c r="P116" s="4"/>
      <c r="Q116" s="4"/>
    </row>
    <row r="117" spans="3:17" x14ac:dyDescent="0.2">
      <c r="C117" s="564"/>
      <c r="D117" s="8"/>
      <c r="E117" s="8"/>
      <c r="F117" s="8"/>
      <c r="G117" s="8"/>
      <c r="H117" s="8"/>
      <c r="I117" s="8"/>
      <c r="J117" s="8"/>
      <c r="K117" s="9"/>
      <c r="M117" s="4"/>
      <c r="N117" s="4"/>
      <c r="O117" s="4"/>
      <c r="P117" s="4"/>
      <c r="Q117" s="4"/>
    </row>
    <row r="118" spans="3:17" x14ac:dyDescent="0.2">
      <c r="C118" s="74"/>
      <c r="M118" s="4"/>
      <c r="N118" s="4"/>
      <c r="O118" s="4"/>
      <c r="P118" s="4"/>
      <c r="Q118" s="4"/>
    </row>
    <row r="119" spans="3:17" x14ac:dyDescent="0.2">
      <c r="C119" s="74"/>
      <c r="M119" s="4"/>
      <c r="N119" s="4"/>
      <c r="O119" s="4"/>
      <c r="P119" s="4"/>
      <c r="Q119" s="4"/>
    </row>
    <row r="120" spans="3:17" x14ac:dyDescent="0.2">
      <c r="C120" s="74"/>
      <c r="M120" s="4"/>
      <c r="N120" s="4"/>
      <c r="O120" s="4"/>
      <c r="P120" s="4"/>
      <c r="Q120" s="4"/>
    </row>
    <row r="121" spans="3:17" x14ac:dyDescent="0.2">
      <c r="C121" s="74"/>
      <c r="M121" s="4"/>
      <c r="N121" s="4"/>
      <c r="O121" s="4"/>
      <c r="P121" s="4"/>
      <c r="Q121" s="4"/>
    </row>
    <row r="122" spans="3:17" x14ac:dyDescent="0.2">
      <c r="C122" s="74"/>
      <c r="M122" s="4"/>
      <c r="N122" s="4"/>
      <c r="O122" s="4"/>
      <c r="P122" s="4"/>
      <c r="Q122" s="4"/>
    </row>
    <row r="123" spans="3:17" x14ac:dyDescent="0.2">
      <c r="C123" s="74"/>
      <c r="M123" s="4"/>
      <c r="N123" s="4"/>
      <c r="O123" s="4"/>
      <c r="P123" s="4"/>
      <c r="Q123" s="4"/>
    </row>
    <row r="124" spans="3:17" x14ac:dyDescent="0.2">
      <c r="C124" s="74"/>
      <c r="M124" s="4"/>
      <c r="N124" s="4"/>
      <c r="O124" s="4"/>
      <c r="P124" s="4"/>
      <c r="Q124" s="4"/>
    </row>
    <row r="125" spans="3:17" x14ac:dyDescent="0.2">
      <c r="C125" s="74"/>
      <c r="M125" s="4"/>
      <c r="N125" s="4"/>
      <c r="O125" s="4"/>
      <c r="P125" s="4"/>
      <c r="Q125" s="4"/>
    </row>
    <row r="126" spans="3:17" x14ac:dyDescent="0.2">
      <c r="C126" s="74"/>
      <c r="M126" s="4"/>
      <c r="N126" s="4"/>
      <c r="O126" s="4"/>
      <c r="P126" s="4"/>
      <c r="Q126" s="4"/>
    </row>
    <row r="127" spans="3:17" x14ac:dyDescent="0.2">
      <c r="C127" s="74"/>
      <c r="M127" s="4"/>
      <c r="N127" s="4"/>
      <c r="O127" s="4"/>
      <c r="P127" s="4"/>
      <c r="Q127" s="4"/>
    </row>
    <row r="128" spans="3:17" x14ac:dyDescent="0.2">
      <c r="C128" s="74"/>
      <c r="M128" s="4"/>
      <c r="N128" s="4"/>
      <c r="O128" s="4"/>
      <c r="P128" s="4"/>
      <c r="Q128" s="4"/>
    </row>
    <row r="129" spans="3:17" x14ac:dyDescent="0.2">
      <c r="C129" s="74"/>
      <c r="M129" s="4"/>
      <c r="N129" s="4"/>
      <c r="O129" s="4"/>
      <c r="P129" s="4"/>
      <c r="Q129" s="4"/>
    </row>
    <row r="130" spans="3:17" x14ac:dyDescent="0.2">
      <c r="C130" s="74"/>
      <c r="M130" s="4"/>
      <c r="N130" s="4"/>
      <c r="O130" s="4"/>
      <c r="P130" s="4"/>
      <c r="Q130" s="4"/>
    </row>
    <row r="131" spans="3:17" x14ac:dyDescent="0.2">
      <c r="C131" s="74"/>
      <c r="M131" s="4"/>
      <c r="N131" s="4"/>
      <c r="O131" s="4"/>
      <c r="P131" s="4"/>
      <c r="Q131" s="4"/>
    </row>
    <row r="132" spans="3:17" x14ac:dyDescent="0.2">
      <c r="C132" s="74"/>
      <c r="M132" s="4"/>
      <c r="N132" s="4"/>
      <c r="O132" s="4"/>
      <c r="P132" s="4"/>
      <c r="Q132" s="4"/>
    </row>
    <row r="133" spans="3:17" x14ac:dyDescent="0.2">
      <c r="C133" s="74"/>
      <c r="M133" s="4"/>
      <c r="N133" s="4"/>
      <c r="O133" s="4"/>
      <c r="P133" s="4"/>
      <c r="Q133" s="4"/>
    </row>
    <row r="134" spans="3:17" x14ac:dyDescent="0.2">
      <c r="C134" s="74"/>
      <c r="M134" s="4"/>
      <c r="N134" s="4"/>
      <c r="O134" s="4"/>
      <c r="P134" s="4"/>
      <c r="Q134" s="4"/>
    </row>
    <row r="135" spans="3:17" x14ac:dyDescent="0.2">
      <c r="C135" s="74"/>
      <c r="M135" s="4"/>
      <c r="N135" s="4"/>
      <c r="O135" s="4"/>
      <c r="P135" s="4"/>
      <c r="Q135" s="4"/>
    </row>
    <row r="136" spans="3:17" x14ac:dyDescent="0.2">
      <c r="C136" s="74"/>
      <c r="M136" s="4"/>
      <c r="N136" s="4"/>
      <c r="O136" s="4"/>
      <c r="P136" s="4"/>
      <c r="Q136" s="4"/>
    </row>
    <row r="137" spans="3:17" x14ac:dyDescent="0.2">
      <c r="C137" s="74"/>
      <c r="M137" s="4"/>
      <c r="N137" s="4"/>
      <c r="O137" s="4"/>
      <c r="P137" s="4"/>
      <c r="Q137" s="4"/>
    </row>
    <row r="138" spans="3:17" x14ac:dyDescent="0.2">
      <c r="C138" s="74"/>
      <c r="M138" s="4"/>
      <c r="N138" s="4"/>
      <c r="O138" s="4"/>
      <c r="P138" s="4"/>
      <c r="Q138" s="4"/>
    </row>
    <row r="139" spans="3:17" x14ac:dyDescent="0.2">
      <c r="C139" s="74"/>
      <c r="M139" s="4"/>
      <c r="N139" s="4"/>
      <c r="O139" s="4"/>
      <c r="P139" s="4"/>
      <c r="Q139" s="4"/>
    </row>
    <row r="140" spans="3:17" x14ac:dyDescent="0.2">
      <c r="C140" s="74"/>
      <c r="M140" s="4"/>
      <c r="N140" s="4"/>
      <c r="O140" s="4"/>
      <c r="P140" s="4"/>
      <c r="Q140" s="4"/>
    </row>
    <row r="141" spans="3:17" x14ac:dyDescent="0.2">
      <c r="C141" s="74"/>
      <c r="M141" s="4"/>
      <c r="N141" s="4"/>
      <c r="O141" s="4"/>
      <c r="P141" s="4"/>
      <c r="Q141" s="4"/>
    </row>
    <row r="142" spans="3:17" x14ac:dyDescent="0.2">
      <c r="C142" s="74"/>
      <c r="M142" s="4"/>
      <c r="N142" s="4"/>
      <c r="O142" s="4"/>
      <c r="P142" s="4"/>
      <c r="Q142" s="4"/>
    </row>
    <row r="143" spans="3:17" x14ac:dyDescent="0.2">
      <c r="C143" s="74"/>
      <c r="M143" s="4"/>
      <c r="N143" s="4"/>
      <c r="O143" s="4"/>
      <c r="P143" s="4"/>
      <c r="Q143" s="4"/>
    </row>
    <row r="144" spans="3:17" x14ac:dyDescent="0.2">
      <c r="C144" s="74"/>
      <c r="M144" s="4"/>
      <c r="N144" s="4"/>
      <c r="O144" s="4"/>
      <c r="P144" s="4"/>
      <c r="Q144" s="4"/>
    </row>
    <row r="145" spans="3:17" x14ac:dyDescent="0.2">
      <c r="C145" s="74"/>
      <c r="M145" s="4"/>
      <c r="N145" s="4"/>
      <c r="O145" s="4"/>
      <c r="P145" s="4"/>
      <c r="Q145" s="4"/>
    </row>
    <row r="146" spans="3:17" x14ac:dyDescent="0.2">
      <c r="C146" s="74"/>
      <c r="M146" s="4"/>
      <c r="N146" s="4"/>
      <c r="O146" s="4"/>
      <c r="P146" s="4"/>
      <c r="Q146" s="4"/>
    </row>
    <row r="147" spans="3:17" x14ac:dyDescent="0.2">
      <c r="C147" s="74"/>
      <c r="M147" s="4"/>
      <c r="N147" s="4"/>
      <c r="O147" s="4"/>
      <c r="P147" s="4"/>
      <c r="Q147" s="4"/>
    </row>
    <row r="148" spans="3:17" x14ac:dyDescent="0.2">
      <c r="C148" s="74"/>
      <c r="M148" s="4"/>
      <c r="N148" s="4"/>
      <c r="O148" s="4"/>
      <c r="P148" s="4"/>
      <c r="Q148" s="4"/>
    </row>
    <row r="149" spans="3:17" x14ac:dyDescent="0.2">
      <c r="C149" s="74"/>
      <c r="M149" s="4"/>
      <c r="N149" s="4"/>
      <c r="O149" s="4"/>
      <c r="P149" s="4"/>
      <c r="Q149" s="4"/>
    </row>
    <row r="150" spans="3:17" x14ac:dyDescent="0.2">
      <c r="C150" s="74"/>
      <c r="M150" s="4"/>
      <c r="N150" s="4"/>
      <c r="O150" s="4"/>
      <c r="P150" s="4"/>
      <c r="Q150" s="4"/>
    </row>
    <row r="151" spans="3:17" x14ac:dyDescent="0.2">
      <c r="C151" s="74"/>
      <c r="M151" s="4"/>
      <c r="N151" s="4"/>
      <c r="O151" s="4"/>
      <c r="P151" s="4"/>
      <c r="Q151" s="4"/>
    </row>
    <row r="152" spans="3:17" x14ac:dyDescent="0.2">
      <c r="C152" s="74"/>
      <c r="M152" s="4"/>
      <c r="N152" s="4"/>
      <c r="O152" s="4"/>
      <c r="P152" s="4"/>
      <c r="Q152" s="4"/>
    </row>
    <row r="153" spans="3:17" x14ac:dyDescent="0.2">
      <c r="C153" s="74"/>
      <c r="M153" s="4"/>
      <c r="N153" s="4"/>
      <c r="O153" s="4"/>
      <c r="P153" s="4"/>
      <c r="Q153" s="4"/>
    </row>
    <row r="154" spans="3:17" x14ac:dyDescent="0.2">
      <c r="C154" s="74"/>
      <c r="M154" s="4"/>
      <c r="N154" s="4"/>
      <c r="O154" s="4"/>
      <c r="P154" s="4"/>
      <c r="Q154" s="4"/>
    </row>
    <row r="155" spans="3:17" x14ac:dyDescent="0.2">
      <c r="C155" s="74"/>
      <c r="M155" s="4"/>
      <c r="N155" s="4"/>
      <c r="O155" s="4"/>
      <c r="P155" s="4"/>
      <c r="Q155" s="4"/>
    </row>
    <row r="156" spans="3:17" x14ac:dyDescent="0.2">
      <c r="C156" s="74"/>
      <c r="M156" s="4"/>
      <c r="N156" s="4"/>
      <c r="O156" s="4"/>
      <c r="P156" s="4"/>
      <c r="Q156" s="4"/>
    </row>
    <row r="157" spans="3:17" x14ac:dyDescent="0.2">
      <c r="C157" s="74"/>
      <c r="M157" s="4"/>
      <c r="N157" s="4"/>
      <c r="O157" s="4"/>
      <c r="P157" s="4"/>
      <c r="Q157" s="4"/>
    </row>
    <row r="158" spans="3:17" x14ac:dyDescent="0.2">
      <c r="C158" s="74"/>
      <c r="M158" s="4"/>
      <c r="N158" s="4"/>
      <c r="O158" s="4"/>
      <c r="P158" s="4"/>
      <c r="Q158" s="4"/>
    </row>
    <row r="159" spans="3:17" x14ac:dyDescent="0.2">
      <c r="C159" s="74"/>
      <c r="M159" s="4"/>
      <c r="N159" s="4"/>
      <c r="O159" s="4"/>
      <c r="P159" s="4"/>
      <c r="Q159" s="4"/>
    </row>
    <row r="160" spans="3:17" x14ac:dyDescent="0.2">
      <c r="C160" s="74"/>
      <c r="M160" s="4"/>
      <c r="N160" s="4"/>
      <c r="O160" s="4"/>
      <c r="P160" s="4"/>
      <c r="Q160" s="4"/>
    </row>
    <row r="161" spans="3:17" x14ac:dyDescent="0.2">
      <c r="C161" s="74"/>
      <c r="M161" s="4"/>
      <c r="N161" s="4"/>
      <c r="O161" s="4"/>
      <c r="P161" s="4"/>
      <c r="Q161" s="4"/>
    </row>
    <row r="162" spans="3:17" x14ac:dyDescent="0.2">
      <c r="C162" s="74"/>
      <c r="M162" s="4"/>
      <c r="N162" s="4"/>
      <c r="O162" s="4"/>
      <c r="P162" s="4"/>
      <c r="Q162" s="4"/>
    </row>
    <row r="163" spans="3:17" x14ac:dyDescent="0.2">
      <c r="C163" s="74"/>
      <c r="M163" s="4"/>
      <c r="N163" s="4"/>
      <c r="O163" s="4"/>
      <c r="P163" s="4"/>
      <c r="Q163" s="4"/>
    </row>
    <row r="164" spans="3:17" x14ac:dyDescent="0.2">
      <c r="C164" s="74"/>
      <c r="M164" s="4"/>
      <c r="N164" s="4"/>
      <c r="O164" s="4"/>
      <c r="P164" s="4"/>
      <c r="Q164" s="4"/>
    </row>
    <row r="165" spans="3:17" x14ac:dyDescent="0.2">
      <c r="C165" s="74"/>
      <c r="M165" s="4"/>
      <c r="N165" s="4"/>
      <c r="O165" s="4"/>
      <c r="P165" s="4"/>
      <c r="Q165" s="4"/>
    </row>
    <row r="166" spans="3:17" x14ac:dyDescent="0.2">
      <c r="C166" s="74"/>
      <c r="M166" s="4"/>
      <c r="N166" s="4"/>
      <c r="O166" s="4"/>
      <c r="P166" s="4"/>
      <c r="Q166" s="4"/>
    </row>
    <row r="167" spans="3:17" x14ac:dyDescent="0.2">
      <c r="C167" s="74"/>
      <c r="M167" s="4"/>
      <c r="N167" s="4"/>
      <c r="O167" s="4"/>
      <c r="P167" s="4"/>
      <c r="Q167" s="4"/>
    </row>
    <row r="168" spans="3:17" x14ac:dyDescent="0.2">
      <c r="C168" s="74"/>
      <c r="M168" s="4"/>
      <c r="N168" s="4"/>
      <c r="O168" s="4"/>
      <c r="P168" s="4"/>
      <c r="Q168" s="4"/>
    </row>
    <row r="169" spans="3:17" x14ac:dyDescent="0.2">
      <c r="C169" s="74"/>
      <c r="M169" s="4"/>
      <c r="N169" s="4"/>
      <c r="O169" s="4"/>
      <c r="P169" s="4"/>
      <c r="Q169" s="4"/>
    </row>
    <row r="170" spans="3:17" x14ac:dyDescent="0.2">
      <c r="C170" s="74"/>
      <c r="M170" s="4"/>
      <c r="N170" s="4"/>
      <c r="O170" s="4"/>
      <c r="P170" s="4"/>
      <c r="Q170" s="4"/>
    </row>
    <row r="171" spans="3:17" x14ac:dyDescent="0.2">
      <c r="C171" s="74"/>
      <c r="M171" s="4"/>
      <c r="N171" s="4"/>
      <c r="O171" s="4"/>
      <c r="P171" s="4"/>
      <c r="Q171" s="4"/>
    </row>
    <row r="172" spans="3:17" x14ac:dyDescent="0.2">
      <c r="C172" s="74"/>
      <c r="M172" s="4"/>
      <c r="N172" s="4"/>
      <c r="O172" s="4"/>
      <c r="P172" s="4"/>
      <c r="Q172" s="4"/>
    </row>
    <row r="173" spans="3:17" x14ac:dyDescent="0.2">
      <c r="C173" s="74"/>
      <c r="M173" s="4"/>
      <c r="N173" s="4"/>
      <c r="O173" s="4"/>
      <c r="P173" s="4"/>
      <c r="Q173" s="4"/>
    </row>
    <row r="174" spans="3:17" x14ac:dyDescent="0.2">
      <c r="C174" s="74"/>
      <c r="M174" s="4"/>
      <c r="N174" s="4"/>
      <c r="O174" s="4"/>
      <c r="P174" s="4"/>
      <c r="Q174" s="4"/>
    </row>
    <row r="175" spans="3:17" x14ac:dyDescent="0.2">
      <c r="C175" s="74"/>
      <c r="M175" s="4"/>
      <c r="N175" s="4"/>
      <c r="O175" s="4"/>
      <c r="P175" s="4"/>
      <c r="Q175" s="4"/>
    </row>
    <row r="176" spans="3:17" x14ac:dyDescent="0.2">
      <c r="C176" s="74"/>
      <c r="M176" s="4"/>
      <c r="N176" s="4"/>
      <c r="O176" s="4"/>
      <c r="P176" s="4"/>
      <c r="Q176" s="4"/>
    </row>
    <row r="177" spans="3:17" x14ac:dyDescent="0.2">
      <c r="C177" s="74"/>
      <c r="M177" s="4"/>
      <c r="N177" s="4"/>
      <c r="O177" s="4"/>
      <c r="P177" s="4"/>
      <c r="Q177" s="4"/>
    </row>
    <row r="178" spans="3:17" x14ac:dyDescent="0.2">
      <c r="C178" s="74"/>
      <c r="M178" s="4"/>
      <c r="N178" s="4"/>
      <c r="O178" s="4"/>
      <c r="P178" s="4"/>
      <c r="Q178" s="4"/>
    </row>
    <row r="179" spans="3:17" x14ac:dyDescent="0.2">
      <c r="C179" s="74"/>
      <c r="M179" s="4"/>
      <c r="N179" s="4"/>
      <c r="O179" s="4"/>
      <c r="P179" s="4"/>
      <c r="Q179" s="4"/>
    </row>
    <row r="180" spans="3:17" x14ac:dyDescent="0.2">
      <c r="C180" s="74"/>
      <c r="M180" s="4"/>
      <c r="N180" s="4"/>
      <c r="O180" s="4"/>
      <c r="P180" s="4"/>
      <c r="Q180" s="4"/>
    </row>
    <row r="181" spans="3:17" x14ac:dyDescent="0.2">
      <c r="C181" s="74"/>
      <c r="M181" s="4"/>
      <c r="N181" s="4"/>
      <c r="O181" s="4"/>
      <c r="P181" s="4"/>
      <c r="Q181" s="4"/>
    </row>
    <row r="182" spans="3:17" x14ac:dyDescent="0.2">
      <c r="C182" s="74"/>
      <c r="M182" s="4"/>
      <c r="N182" s="4"/>
      <c r="O182" s="4"/>
      <c r="P182" s="4"/>
      <c r="Q182" s="4"/>
    </row>
    <row r="183" spans="3:17" x14ac:dyDescent="0.2">
      <c r="C183" s="74"/>
      <c r="M183" s="4"/>
      <c r="N183" s="4"/>
      <c r="O183" s="4"/>
      <c r="P183" s="4"/>
      <c r="Q183" s="4"/>
    </row>
    <row r="184" spans="3:17" x14ac:dyDescent="0.2">
      <c r="C184" s="74"/>
      <c r="M184" s="4"/>
      <c r="N184" s="4"/>
      <c r="O184" s="4"/>
      <c r="P184" s="4"/>
      <c r="Q184" s="4"/>
    </row>
    <row r="185" spans="3:17" x14ac:dyDescent="0.2">
      <c r="C185" s="74"/>
      <c r="M185" s="4"/>
      <c r="N185" s="4"/>
      <c r="O185" s="4"/>
      <c r="P185" s="4"/>
      <c r="Q185" s="4"/>
    </row>
    <row r="186" spans="3:17" x14ac:dyDescent="0.2">
      <c r="C186" s="74"/>
      <c r="M186" s="4"/>
      <c r="N186" s="4"/>
      <c r="O186" s="4"/>
      <c r="P186" s="4"/>
      <c r="Q186" s="4"/>
    </row>
    <row r="187" spans="3:17" x14ac:dyDescent="0.2">
      <c r="C187" s="74"/>
      <c r="M187" s="4"/>
      <c r="N187" s="4"/>
      <c r="O187" s="4"/>
      <c r="P187" s="4"/>
      <c r="Q187" s="4"/>
    </row>
    <row r="188" spans="3:17" x14ac:dyDescent="0.2">
      <c r="C188" s="74"/>
      <c r="M188" s="4"/>
      <c r="N188" s="4"/>
      <c r="O188" s="4"/>
      <c r="P188" s="4"/>
      <c r="Q188" s="4"/>
    </row>
    <row r="189" spans="3:17" x14ac:dyDescent="0.2">
      <c r="C189" s="74"/>
      <c r="M189" s="4"/>
      <c r="N189" s="4"/>
      <c r="O189" s="4"/>
      <c r="P189" s="4"/>
      <c r="Q189" s="4"/>
    </row>
    <row r="190" spans="3:17" x14ac:dyDescent="0.2">
      <c r="C190" s="74"/>
      <c r="M190" s="4"/>
      <c r="N190" s="4"/>
      <c r="O190" s="4"/>
      <c r="P190" s="4"/>
      <c r="Q190" s="4"/>
    </row>
    <row r="191" spans="3:17" x14ac:dyDescent="0.2">
      <c r="C191" s="74"/>
      <c r="M191" s="4"/>
      <c r="N191" s="4"/>
      <c r="O191" s="4"/>
      <c r="P191" s="4"/>
      <c r="Q191" s="4"/>
    </row>
    <row r="192" spans="3:17" x14ac:dyDescent="0.2">
      <c r="C192" s="74"/>
      <c r="M192" s="4"/>
      <c r="N192" s="4"/>
      <c r="O192" s="4"/>
      <c r="P192" s="4"/>
      <c r="Q192" s="4"/>
    </row>
    <row r="193" spans="3:17" x14ac:dyDescent="0.2">
      <c r="C193" s="74"/>
      <c r="M193" s="4"/>
      <c r="N193" s="4"/>
      <c r="O193" s="4"/>
      <c r="P193" s="4"/>
      <c r="Q193" s="4"/>
    </row>
    <row r="194" spans="3:17" x14ac:dyDescent="0.2">
      <c r="C194" s="74"/>
      <c r="M194" s="4"/>
      <c r="N194" s="4"/>
      <c r="O194" s="4"/>
      <c r="P194" s="4"/>
      <c r="Q194" s="4"/>
    </row>
    <row r="195" spans="3:17" x14ac:dyDescent="0.2">
      <c r="C195" s="74"/>
      <c r="M195" s="4"/>
      <c r="N195" s="4"/>
      <c r="O195" s="4"/>
      <c r="P195" s="4"/>
      <c r="Q195" s="4"/>
    </row>
    <row r="196" spans="3:17" x14ac:dyDescent="0.2">
      <c r="C196" s="74"/>
      <c r="M196" s="4"/>
      <c r="N196" s="4"/>
      <c r="O196" s="4"/>
      <c r="P196" s="4"/>
      <c r="Q196" s="4"/>
    </row>
    <row r="197" spans="3:17" x14ac:dyDescent="0.2">
      <c r="C197" s="74"/>
      <c r="M197" s="4"/>
      <c r="N197" s="4"/>
      <c r="O197" s="4"/>
      <c r="P197" s="4"/>
      <c r="Q197" s="4"/>
    </row>
    <row r="198" spans="3:17" x14ac:dyDescent="0.2">
      <c r="C198" s="74"/>
      <c r="M198" s="4"/>
      <c r="N198" s="4"/>
      <c r="O198" s="4"/>
      <c r="P198" s="4"/>
      <c r="Q198" s="4"/>
    </row>
    <row r="199" spans="3:17" x14ac:dyDescent="0.2">
      <c r="C199" s="74"/>
      <c r="M199" s="4"/>
      <c r="N199" s="4"/>
      <c r="O199" s="4"/>
      <c r="P199" s="4"/>
      <c r="Q199" s="4"/>
    </row>
    <row r="200" spans="3:17" x14ac:dyDescent="0.2">
      <c r="C200" s="74"/>
      <c r="M200" s="4"/>
      <c r="N200" s="4"/>
      <c r="O200" s="4"/>
      <c r="P200" s="4"/>
      <c r="Q200" s="4"/>
    </row>
    <row r="201" spans="3:17" x14ac:dyDescent="0.2">
      <c r="C201" s="74"/>
      <c r="M201" s="4"/>
      <c r="N201" s="4"/>
      <c r="O201" s="4"/>
      <c r="P201" s="4"/>
      <c r="Q201" s="4"/>
    </row>
    <row r="202" spans="3:17" x14ac:dyDescent="0.2">
      <c r="C202" s="74"/>
      <c r="M202" s="4"/>
      <c r="N202" s="4"/>
      <c r="O202" s="4"/>
      <c r="P202" s="4"/>
      <c r="Q202" s="4"/>
    </row>
    <row r="203" spans="3:17" x14ac:dyDescent="0.2">
      <c r="C203" s="74"/>
      <c r="M203" s="4"/>
      <c r="N203" s="4"/>
      <c r="O203" s="4"/>
      <c r="P203" s="4"/>
      <c r="Q203" s="4"/>
    </row>
    <row r="204" spans="3:17" x14ac:dyDescent="0.2">
      <c r="C204" s="74"/>
      <c r="M204" s="4"/>
      <c r="N204" s="4"/>
      <c r="O204" s="4"/>
      <c r="P204" s="4"/>
      <c r="Q204" s="4"/>
    </row>
    <row r="205" spans="3:17" x14ac:dyDescent="0.2">
      <c r="C205" s="74"/>
      <c r="M205" s="4"/>
      <c r="N205" s="4"/>
      <c r="O205" s="4"/>
      <c r="P205" s="4"/>
      <c r="Q205" s="4"/>
    </row>
    <row r="206" spans="3:17" x14ac:dyDescent="0.2">
      <c r="C206" s="74"/>
      <c r="M206" s="4"/>
      <c r="N206" s="4"/>
      <c r="O206" s="4"/>
      <c r="P206" s="4"/>
      <c r="Q206" s="4"/>
    </row>
    <row r="207" spans="3:17" x14ac:dyDescent="0.2">
      <c r="C207" s="74"/>
      <c r="M207" s="4"/>
      <c r="N207" s="4"/>
      <c r="O207" s="4"/>
      <c r="P207" s="4"/>
      <c r="Q207" s="4"/>
    </row>
    <row r="208" spans="3:17" x14ac:dyDescent="0.2">
      <c r="C208" s="74"/>
      <c r="M208" s="4"/>
      <c r="N208" s="4"/>
      <c r="O208" s="4"/>
      <c r="P208" s="4"/>
      <c r="Q208" s="4"/>
    </row>
    <row r="209" spans="3:17" x14ac:dyDescent="0.2">
      <c r="C209" s="74"/>
      <c r="M209" s="4"/>
      <c r="N209" s="4"/>
      <c r="O209" s="4"/>
      <c r="P209" s="4"/>
      <c r="Q209" s="4"/>
    </row>
    <row r="210" spans="3:17" x14ac:dyDescent="0.2">
      <c r="C210" s="74"/>
      <c r="M210" s="4"/>
      <c r="N210" s="4"/>
      <c r="O210" s="4"/>
      <c r="P210" s="4"/>
      <c r="Q210" s="4"/>
    </row>
    <row r="211" spans="3:17" x14ac:dyDescent="0.2">
      <c r="C211" s="74"/>
      <c r="M211" s="4"/>
      <c r="N211" s="4"/>
      <c r="O211" s="4"/>
      <c r="P211" s="4"/>
      <c r="Q211" s="4"/>
    </row>
    <row r="212" spans="3:17" x14ac:dyDescent="0.2">
      <c r="C212" s="74"/>
      <c r="M212" s="4"/>
      <c r="N212" s="4"/>
      <c r="O212" s="4"/>
      <c r="P212" s="4"/>
      <c r="Q212" s="4"/>
    </row>
    <row r="213" spans="3:17" x14ac:dyDescent="0.2">
      <c r="C213" s="74"/>
      <c r="M213" s="4"/>
      <c r="N213" s="4"/>
      <c r="O213" s="4"/>
      <c r="P213" s="4"/>
      <c r="Q213" s="4"/>
    </row>
    <row r="214" spans="3:17" x14ac:dyDescent="0.2">
      <c r="C214" s="74"/>
      <c r="M214" s="4"/>
      <c r="N214" s="4"/>
      <c r="O214" s="4"/>
      <c r="P214" s="4"/>
      <c r="Q214" s="4"/>
    </row>
    <row r="215" spans="3:17" x14ac:dyDescent="0.2">
      <c r="C215" s="74"/>
      <c r="M215" s="4"/>
      <c r="N215" s="4"/>
      <c r="O215" s="4"/>
      <c r="P215" s="4"/>
      <c r="Q215" s="4"/>
    </row>
    <row r="216" spans="3:17" x14ac:dyDescent="0.2">
      <c r="C216" s="74"/>
      <c r="M216" s="4"/>
      <c r="N216" s="4"/>
      <c r="O216" s="4"/>
      <c r="P216" s="4"/>
      <c r="Q216" s="4"/>
    </row>
    <row r="217" spans="3:17" x14ac:dyDescent="0.2">
      <c r="C217" s="74"/>
      <c r="M217" s="4"/>
      <c r="N217" s="4"/>
      <c r="O217" s="4"/>
      <c r="P217" s="4"/>
      <c r="Q217" s="4"/>
    </row>
    <row r="218" spans="3:17" x14ac:dyDescent="0.2">
      <c r="C218" s="74"/>
      <c r="M218" s="4"/>
      <c r="N218" s="4"/>
      <c r="O218" s="4"/>
      <c r="P218" s="4"/>
      <c r="Q218" s="4"/>
    </row>
    <row r="219" spans="3:17" x14ac:dyDescent="0.2">
      <c r="C219" s="74"/>
      <c r="M219" s="4"/>
      <c r="N219" s="4"/>
      <c r="O219" s="4"/>
      <c r="P219" s="4"/>
      <c r="Q219" s="4"/>
    </row>
    <row r="220" spans="3:17" x14ac:dyDescent="0.2">
      <c r="C220" s="74"/>
      <c r="M220" s="4"/>
      <c r="N220" s="4"/>
      <c r="O220" s="4"/>
      <c r="P220" s="4"/>
      <c r="Q220" s="4"/>
    </row>
    <row r="221" spans="3:17" x14ac:dyDescent="0.2">
      <c r="C221" s="74"/>
      <c r="M221" s="4"/>
      <c r="N221" s="4"/>
      <c r="O221" s="4"/>
      <c r="P221" s="4"/>
      <c r="Q221" s="4"/>
    </row>
    <row r="222" spans="3:17" x14ac:dyDescent="0.2">
      <c r="C222" s="74"/>
      <c r="M222" s="4"/>
      <c r="N222" s="4"/>
      <c r="O222" s="4"/>
      <c r="P222" s="4"/>
      <c r="Q222" s="4"/>
    </row>
    <row r="223" spans="3:17" x14ac:dyDescent="0.2">
      <c r="C223" s="74"/>
      <c r="M223" s="4"/>
      <c r="N223" s="4"/>
      <c r="O223" s="4"/>
      <c r="P223" s="4"/>
      <c r="Q223" s="4"/>
    </row>
    <row r="224" spans="3:17" x14ac:dyDescent="0.2">
      <c r="C224" s="74"/>
      <c r="M224" s="4"/>
      <c r="N224" s="4"/>
      <c r="O224" s="4"/>
      <c r="P224" s="4"/>
      <c r="Q224" s="4"/>
    </row>
    <row r="225" spans="3:17" x14ac:dyDescent="0.2">
      <c r="C225" s="74"/>
      <c r="M225" s="4"/>
      <c r="N225" s="4"/>
      <c r="O225" s="4"/>
      <c r="P225" s="4"/>
      <c r="Q225" s="4"/>
    </row>
    <row r="226" spans="3:17" x14ac:dyDescent="0.2">
      <c r="C226" s="74"/>
      <c r="M226" s="4"/>
      <c r="N226" s="4"/>
      <c r="O226" s="4"/>
      <c r="P226" s="4"/>
      <c r="Q226" s="4"/>
    </row>
    <row r="227" spans="3:17" x14ac:dyDescent="0.2">
      <c r="C227" s="74"/>
      <c r="M227" s="4"/>
      <c r="N227" s="4"/>
      <c r="O227" s="4"/>
      <c r="P227" s="4"/>
      <c r="Q227" s="4"/>
    </row>
    <row r="228" spans="3:17" x14ac:dyDescent="0.2">
      <c r="C228" s="74"/>
      <c r="M228" s="4"/>
      <c r="N228" s="4"/>
      <c r="O228" s="4"/>
      <c r="P228" s="4"/>
      <c r="Q228" s="4"/>
    </row>
    <row r="229" spans="3:17" x14ac:dyDescent="0.2">
      <c r="C229" s="74"/>
      <c r="M229" s="4"/>
      <c r="N229" s="4"/>
      <c r="O229" s="4"/>
      <c r="P229" s="4"/>
      <c r="Q229" s="4"/>
    </row>
    <row r="230" spans="3:17" x14ac:dyDescent="0.2">
      <c r="C230" s="74"/>
      <c r="M230" s="4"/>
      <c r="N230" s="4"/>
      <c r="O230" s="4"/>
      <c r="P230" s="4"/>
      <c r="Q230" s="4"/>
    </row>
    <row r="231" spans="3:17" x14ac:dyDescent="0.2">
      <c r="C231" s="74"/>
      <c r="M231" s="4"/>
      <c r="N231" s="4"/>
      <c r="O231" s="4"/>
      <c r="P231" s="4"/>
      <c r="Q231" s="4"/>
    </row>
    <row r="232" spans="3:17" x14ac:dyDescent="0.2">
      <c r="C232" s="74"/>
      <c r="M232" s="4"/>
      <c r="N232" s="4"/>
      <c r="O232" s="4"/>
      <c r="P232" s="4"/>
      <c r="Q232" s="4"/>
    </row>
    <row r="233" spans="3:17" x14ac:dyDescent="0.2">
      <c r="C233" s="74"/>
      <c r="M233" s="4"/>
      <c r="N233" s="4"/>
      <c r="O233" s="4"/>
      <c r="P233" s="4"/>
      <c r="Q233" s="4"/>
    </row>
    <row r="234" spans="3:17" x14ac:dyDescent="0.2">
      <c r="C234" s="74"/>
      <c r="M234" s="4"/>
      <c r="N234" s="4"/>
      <c r="O234" s="4"/>
      <c r="P234" s="4"/>
      <c r="Q234" s="4"/>
    </row>
    <row r="235" spans="3:17" x14ac:dyDescent="0.2">
      <c r="C235" s="74"/>
      <c r="M235" s="4"/>
      <c r="N235" s="4"/>
      <c r="O235" s="4"/>
      <c r="P235" s="4"/>
      <c r="Q235" s="4"/>
    </row>
    <row r="236" spans="3:17" x14ac:dyDescent="0.2">
      <c r="C236" s="74"/>
      <c r="M236" s="4"/>
      <c r="N236" s="4"/>
      <c r="O236" s="4"/>
      <c r="P236" s="4"/>
      <c r="Q236" s="4"/>
    </row>
    <row r="237" spans="3:17" x14ac:dyDescent="0.2">
      <c r="C237" s="74"/>
      <c r="M237" s="4"/>
      <c r="N237" s="4"/>
      <c r="O237" s="4"/>
      <c r="P237" s="4"/>
      <c r="Q237" s="4"/>
    </row>
    <row r="238" spans="3:17" x14ac:dyDescent="0.2">
      <c r="C238" s="74"/>
      <c r="M238" s="4"/>
      <c r="N238" s="4"/>
      <c r="O238" s="4"/>
      <c r="P238" s="4"/>
      <c r="Q238" s="4"/>
    </row>
    <row r="239" spans="3:17" x14ac:dyDescent="0.2">
      <c r="C239" s="74"/>
      <c r="M239" s="4"/>
      <c r="N239" s="4"/>
      <c r="O239" s="4"/>
      <c r="P239" s="4"/>
      <c r="Q239" s="4"/>
    </row>
    <row r="240" spans="3:17" x14ac:dyDescent="0.2">
      <c r="C240" s="74"/>
      <c r="M240" s="4"/>
      <c r="N240" s="4"/>
      <c r="O240" s="4"/>
      <c r="P240" s="4"/>
      <c r="Q240" s="4"/>
    </row>
    <row r="241" spans="3:17" x14ac:dyDescent="0.2">
      <c r="C241" s="74"/>
      <c r="M241" s="4"/>
      <c r="N241" s="4"/>
      <c r="O241" s="4"/>
      <c r="P241" s="4"/>
      <c r="Q241" s="4"/>
    </row>
    <row r="242" spans="3:17" x14ac:dyDescent="0.2">
      <c r="C242" s="74"/>
      <c r="M242" s="4"/>
      <c r="N242" s="4"/>
      <c r="O242" s="4"/>
      <c r="P242" s="4"/>
      <c r="Q242" s="4"/>
    </row>
    <row r="243" spans="3:17" x14ac:dyDescent="0.2">
      <c r="C243" s="74"/>
      <c r="M243" s="4"/>
      <c r="N243" s="4"/>
      <c r="O243" s="4"/>
      <c r="P243" s="4"/>
      <c r="Q243" s="4"/>
    </row>
    <row r="244" spans="3:17" x14ac:dyDescent="0.2">
      <c r="C244" s="74"/>
      <c r="M244" s="4"/>
      <c r="N244" s="4"/>
      <c r="O244" s="4"/>
      <c r="P244" s="4"/>
      <c r="Q244" s="4"/>
    </row>
    <row r="245" spans="3:17" x14ac:dyDescent="0.2">
      <c r="C245" s="74"/>
      <c r="M245" s="4"/>
      <c r="N245" s="4"/>
      <c r="O245" s="4"/>
      <c r="P245" s="4"/>
      <c r="Q245" s="4"/>
    </row>
    <row r="246" spans="3:17" x14ac:dyDescent="0.2">
      <c r="C246" s="74"/>
      <c r="M246" s="4"/>
      <c r="N246" s="4"/>
      <c r="O246" s="4"/>
      <c r="P246" s="4"/>
      <c r="Q246" s="4"/>
    </row>
    <row r="247" spans="3:17" x14ac:dyDescent="0.2">
      <c r="C247" s="74"/>
      <c r="M247" s="4"/>
      <c r="N247" s="4"/>
      <c r="O247" s="4"/>
      <c r="P247" s="4"/>
      <c r="Q247" s="4"/>
    </row>
    <row r="248" spans="3:17" x14ac:dyDescent="0.2">
      <c r="C248" s="74"/>
      <c r="M248" s="4"/>
      <c r="N248" s="4"/>
      <c r="O248" s="4"/>
      <c r="P248" s="4"/>
      <c r="Q248" s="4"/>
    </row>
    <row r="249" spans="3:17" x14ac:dyDescent="0.2">
      <c r="C249" s="74"/>
      <c r="M249" s="4"/>
      <c r="N249" s="4"/>
      <c r="O249" s="4"/>
      <c r="P249" s="4"/>
      <c r="Q249" s="4"/>
    </row>
    <row r="250" spans="3:17" x14ac:dyDescent="0.2">
      <c r="C250" s="74"/>
      <c r="M250" s="4"/>
      <c r="N250" s="4"/>
      <c r="O250" s="4"/>
      <c r="P250" s="4"/>
      <c r="Q250" s="4"/>
    </row>
    <row r="251" spans="3:17" x14ac:dyDescent="0.2">
      <c r="C251" s="74"/>
      <c r="M251" s="4"/>
      <c r="N251" s="4"/>
      <c r="O251" s="4"/>
      <c r="P251" s="4"/>
      <c r="Q251" s="4"/>
    </row>
    <row r="252" spans="3:17" x14ac:dyDescent="0.2">
      <c r="C252" s="74"/>
      <c r="M252" s="4"/>
      <c r="N252" s="4"/>
      <c r="O252" s="4"/>
      <c r="P252" s="4"/>
      <c r="Q252" s="4"/>
    </row>
    <row r="253" spans="3:17" x14ac:dyDescent="0.2">
      <c r="C253" s="74"/>
      <c r="M253" s="4"/>
      <c r="N253" s="4"/>
      <c r="O253" s="4"/>
      <c r="P253" s="4"/>
      <c r="Q253" s="4"/>
    </row>
    <row r="254" spans="3:17" x14ac:dyDescent="0.2">
      <c r="C254" s="74"/>
      <c r="M254" s="4"/>
      <c r="N254" s="4"/>
      <c r="O254" s="4"/>
      <c r="P254" s="4"/>
      <c r="Q254" s="4"/>
    </row>
    <row r="255" spans="3:17" x14ac:dyDescent="0.2">
      <c r="C255" s="74"/>
      <c r="M255" s="4"/>
      <c r="N255" s="4"/>
      <c r="O255" s="4"/>
      <c r="P255" s="4"/>
      <c r="Q255" s="4"/>
    </row>
    <row r="256" spans="3:17" x14ac:dyDescent="0.2">
      <c r="C256" s="74"/>
      <c r="M256" s="4"/>
      <c r="N256" s="4"/>
      <c r="O256" s="4"/>
      <c r="P256" s="4"/>
      <c r="Q256" s="4"/>
    </row>
    <row r="257" spans="3:17" x14ac:dyDescent="0.2">
      <c r="C257" s="74"/>
      <c r="M257" s="4"/>
      <c r="N257" s="4"/>
      <c r="O257" s="4"/>
      <c r="P257" s="4"/>
      <c r="Q257" s="4"/>
    </row>
    <row r="258" spans="3:17" x14ac:dyDescent="0.2">
      <c r="C258" s="74"/>
      <c r="M258" s="4"/>
      <c r="N258" s="4"/>
      <c r="O258" s="4"/>
      <c r="P258" s="4"/>
      <c r="Q258" s="4"/>
    </row>
    <row r="259" spans="3:17" x14ac:dyDescent="0.2">
      <c r="C259" s="74"/>
      <c r="M259" s="4"/>
      <c r="N259" s="4"/>
      <c r="O259" s="4"/>
      <c r="P259" s="4"/>
      <c r="Q259" s="4"/>
    </row>
    <row r="260" spans="3:17" x14ac:dyDescent="0.2">
      <c r="C260" s="74"/>
      <c r="M260" s="4"/>
      <c r="N260" s="4"/>
      <c r="O260" s="4"/>
      <c r="P260" s="4"/>
      <c r="Q260" s="4"/>
    </row>
    <row r="261" spans="3:17" x14ac:dyDescent="0.2">
      <c r="C261" s="74"/>
      <c r="M261" s="4"/>
      <c r="N261" s="4"/>
      <c r="O261" s="4"/>
      <c r="P261" s="4"/>
      <c r="Q261" s="4"/>
    </row>
    <row r="262" spans="3:17" x14ac:dyDescent="0.2">
      <c r="C262" s="74"/>
      <c r="M262" s="4"/>
      <c r="N262" s="4"/>
      <c r="O262" s="4"/>
      <c r="P262" s="4"/>
      <c r="Q262" s="4"/>
    </row>
    <row r="263" spans="3:17" x14ac:dyDescent="0.2">
      <c r="C263" s="74"/>
      <c r="M263" s="4"/>
      <c r="N263" s="4"/>
      <c r="O263" s="4"/>
      <c r="P263" s="4"/>
      <c r="Q263" s="4"/>
    </row>
    <row r="264" spans="3:17" x14ac:dyDescent="0.2">
      <c r="C264" s="74"/>
      <c r="M264" s="4"/>
      <c r="N264" s="4"/>
      <c r="O264" s="4"/>
      <c r="P264" s="4"/>
      <c r="Q264" s="4"/>
    </row>
    <row r="265" spans="3:17" x14ac:dyDescent="0.2">
      <c r="C265" s="74"/>
      <c r="M265" s="4"/>
      <c r="N265" s="4"/>
      <c r="O265" s="4"/>
      <c r="P265" s="4"/>
      <c r="Q265" s="4"/>
    </row>
    <row r="266" spans="3:17" x14ac:dyDescent="0.2">
      <c r="C266" s="74"/>
      <c r="M266" s="4"/>
      <c r="N266" s="4"/>
      <c r="O266" s="4"/>
      <c r="P266" s="4"/>
      <c r="Q266" s="4"/>
    </row>
    <row r="267" spans="3:17" x14ac:dyDescent="0.2">
      <c r="C267" s="74"/>
      <c r="M267" s="4"/>
      <c r="N267" s="4"/>
      <c r="O267" s="4"/>
      <c r="P267" s="4"/>
      <c r="Q267" s="4"/>
    </row>
    <row r="268" spans="3:17" x14ac:dyDescent="0.2">
      <c r="C268" s="74"/>
      <c r="M268" s="4"/>
      <c r="N268" s="4"/>
      <c r="O268" s="4"/>
      <c r="P268" s="4"/>
      <c r="Q268" s="4"/>
    </row>
    <row r="269" spans="3:17" x14ac:dyDescent="0.2">
      <c r="C269" s="74"/>
      <c r="M269" s="4"/>
      <c r="N269" s="4"/>
      <c r="O269" s="4"/>
      <c r="P269" s="4"/>
      <c r="Q269" s="4"/>
    </row>
    <row r="270" spans="3:17" x14ac:dyDescent="0.2">
      <c r="C270" s="74"/>
      <c r="M270" s="4"/>
      <c r="N270" s="4"/>
      <c r="O270" s="4"/>
      <c r="P270" s="4"/>
      <c r="Q270" s="4"/>
    </row>
    <row r="271" spans="3:17" x14ac:dyDescent="0.2">
      <c r="C271" s="74"/>
      <c r="M271" s="4"/>
      <c r="N271" s="4"/>
      <c r="O271" s="4"/>
      <c r="P271" s="4"/>
      <c r="Q271" s="4"/>
    </row>
    <row r="272" spans="3:17" x14ac:dyDescent="0.2">
      <c r="C272" s="74"/>
      <c r="M272" s="4"/>
      <c r="N272" s="4"/>
      <c r="O272" s="4"/>
      <c r="P272" s="4"/>
      <c r="Q272" s="4"/>
    </row>
    <row r="273" spans="3:17" x14ac:dyDescent="0.2">
      <c r="C273" s="74"/>
      <c r="M273" s="4"/>
      <c r="N273" s="4"/>
      <c r="O273" s="4"/>
      <c r="P273" s="4"/>
      <c r="Q273" s="4"/>
    </row>
    <row r="274" spans="3:17" x14ac:dyDescent="0.2">
      <c r="C274" s="74"/>
      <c r="M274" s="4"/>
      <c r="N274" s="4"/>
      <c r="O274" s="4"/>
      <c r="P274" s="4"/>
      <c r="Q274" s="4"/>
    </row>
    <row r="275" spans="3:17" x14ac:dyDescent="0.2">
      <c r="C275" s="74"/>
      <c r="M275" s="4"/>
      <c r="N275" s="4"/>
      <c r="O275" s="4"/>
      <c r="P275" s="4"/>
      <c r="Q275" s="4"/>
    </row>
    <row r="276" spans="3:17" x14ac:dyDescent="0.2">
      <c r="C276" s="74"/>
      <c r="M276" s="4"/>
      <c r="N276" s="4"/>
      <c r="O276" s="4"/>
      <c r="P276" s="4"/>
      <c r="Q276" s="4"/>
    </row>
    <row r="277" spans="3:17" x14ac:dyDescent="0.2">
      <c r="C277" s="74"/>
      <c r="M277" s="4"/>
      <c r="N277" s="4"/>
      <c r="O277" s="4"/>
      <c r="P277" s="4"/>
      <c r="Q277" s="4"/>
    </row>
    <row r="278" spans="3:17" x14ac:dyDescent="0.2">
      <c r="C278" s="74"/>
      <c r="M278" s="4"/>
      <c r="N278" s="4"/>
      <c r="O278" s="4"/>
      <c r="P278" s="4"/>
      <c r="Q278" s="4"/>
    </row>
    <row r="279" spans="3:17" x14ac:dyDescent="0.2">
      <c r="C279" s="74"/>
      <c r="M279" s="4"/>
      <c r="N279" s="4"/>
      <c r="O279" s="4"/>
      <c r="P279" s="4"/>
      <c r="Q279" s="4"/>
    </row>
    <row r="280" spans="3:17" x14ac:dyDescent="0.2">
      <c r="C280" s="74"/>
      <c r="M280" s="4"/>
      <c r="N280" s="4"/>
      <c r="O280" s="4"/>
      <c r="P280" s="4"/>
      <c r="Q280" s="4"/>
    </row>
    <row r="281" spans="3:17" x14ac:dyDescent="0.2">
      <c r="C281" s="74"/>
      <c r="M281" s="4"/>
      <c r="N281" s="4"/>
      <c r="O281" s="4"/>
      <c r="P281" s="4"/>
      <c r="Q281" s="4"/>
    </row>
    <row r="282" spans="3:17" x14ac:dyDescent="0.2">
      <c r="C282" s="74"/>
      <c r="M282" s="4"/>
      <c r="N282" s="4"/>
      <c r="O282" s="4"/>
      <c r="P282" s="4"/>
      <c r="Q282" s="4"/>
    </row>
    <row r="283" spans="3:17" x14ac:dyDescent="0.2">
      <c r="M283" s="4"/>
      <c r="N283" s="4"/>
      <c r="O283" s="4"/>
      <c r="P283" s="4"/>
      <c r="Q283" s="4"/>
    </row>
    <row r="284" spans="3:17" x14ac:dyDescent="0.2">
      <c r="M284" s="4"/>
      <c r="N284" s="4"/>
      <c r="O284" s="4"/>
      <c r="P284" s="4"/>
      <c r="Q284" s="4"/>
    </row>
    <row r="285" spans="3:17" x14ac:dyDescent="0.2">
      <c r="M285" s="4"/>
      <c r="N285" s="4"/>
      <c r="O285" s="4"/>
      <c r="P285" s="4"/>
      <c r="Q285" s="4"/>
    </row>
    <row r="286" spans="3:17" x14ac:dyDescent="0.2">
      <c r="M286" s="4"/>
      <c r="N286" s="4"/>
      <c r="O286" s="4"/>
      <c r="P286" s="4"/>
      <c r="Q286" s="4"/>
    </row>
    <row r="287" spans="3:17" x14ac:dyDescent="0.2">
      <c r="M287" s="4"/>
      <c r="N287" s="4"/>
      <c r="O287" s="4"/>
      <c r="P287" s="4"/>
      <c r="Q287" s="4"/>
    </row>
    <row r="288" spans="3:17" x14ac:dyDescent="0.2">
      <c r="M288" s="4"/>
      <c r="N288" s="4"/>
      <c r="O288" s="4"/>
      <c r="P288" s="4"/>
      <c r="Q288" s="4"/>
    </row>
    <row r="289" spans="13:17" x14ac:dyDescent="0.2">
      <c r="M289" s="4"/>
      <c r="N289" s="4"/>
      <c r="O289" s="4"/>
      <c r="P289" s="4"/>
      <c r="Q289" s="4"/>
    </row>
    <row r="290" spans="13:17" x14ac:dyDescent="0.2">
      <c r="M290" s="4"/>
      <c r="N290" s="4"/>
      <c r="O290" s="4"/>
      <c r="P290" s="4"/>
      <c r="Q290" s="4"/>
    </row>
    <row r="291" spans="13:17" x14ac:dyDescent="0.2">
      <c r="M291" s="4"/>
      <c r="N291" s="4"/>
      <c r="O291" s="4"/>
      <c r="P291" s="4"/>
      <c r="Q291" s="4"/>
    </row>
    <row r="292" spans="13:17" x14ac:dyDescent="0.2">
      <c r="M292" s="4"/>
      <c r="N292" s="4"/>
      <c r="O292" s="4"/>
      <c r="P292" s="4"/>
      <c r="Q292" s="4"/>
    </row>
    <row r="293" spans="13:17" x14ac:dyDescent="0.2">
      <c r="M293" s="4"/>
      <c r="N293" s="4"/>
      <c r="O293" s="4"/>
      <c r="P293" s="4"/>
      <c r="Q293" s="4"/>
    </row>
    <row r="294" spans="13:17" x14ac:dyDescent="0.2">
      <c r="M294" s="4"/>
      <c r="N294" s="4"/>
      <c r="O294" s="4"/>
      <c r="P294" s="4"/>
      <c r="Q294" s="4"/>
    </row>
    <row r="295" spans="13:17" x14ac:dyDescent="0.2">
      <c r="M295" s="4"/>
      <c r="N295" s="4"/>
      <c r="O295" s="4"/>
      <c r="P295" s="4"/>
      <c r="Q295" s="4"/>
    </row>
    <row r="296" spans="13:17" x14ac:dyDescent="0.2">
      <c r="M296" s="4"/>
      <c r="N296" s="4"/>
      <c r="O296" s="4"/>
      <c r="P296" s="4"/>
      <c r="Q296" s="4"/>
    </row>
    <row r="297" spans="13:17" x14ac:dyDescent="0.2">
      <c r="M297" s="4"/>
      <c r="N297" s="4"/>
      <c r="O297" s="4"/>
      <c r="P297" s="4"/>
      <c r="Q297" s="4"/>
    </row>
    <row r="298" spans="13:17" x14ac:dyDescent="0.2">
      <c r="M298" s="4"/>
      <c r="N298" s="4"/>
      <c r="O298" s="4"/>
      <c r="P298" s="4"/>
      <c r="Q298" s="4"/>
    </row>
    <row r="299" spans="13:17" x14ac:dyDescent="0.2">
      <c r="M299" s="4"/>
      <c r="N299" s="4"/>
      <c r="O299" s="4"/>
      <c r="P299" s="4"/>
      <c r="Q299" s="4"/>
    </row>
    <row r="300" spans="13:17" x14ac:dyDescent="0.2">
      <c r="M300" s="4"/>
      <c r="N300" s="4"/>
      <c r="O300" s="4"/>
      <c r="P300" s="4"/>
      <c r="Q300" s="4"/>
    </row>
    <row r="301" spans="13:17" x14ac:dyDescent="0.2">
      <c r="M301" s="4"/>
      <c r="N301" s="4"/>
      <c r="O301" s="4"/>
      <c r="P301" s="4"/>
      <c r="Q301" s="4"/>
    </row>
  </sheetData>
  <sheetProtection password="8677" sheet="1" objects="1" scenarios="1"/>
  <mergeCells count="21">
    <mergeCell ref="E30:K30"/>
    <mergeCell ref="E31:K31"/>
    <mergeCell ref="E32:K32"/>
    <mergeCell ref="E33:K33"/>
    <mergeCell ref="E34:K34"/>
    <mergeCell ref="G2:K4"/>
    <mergeCell ref="C5:K7"/>
    <mergeCell ref="E42:K42"/>
    <mergeCell ref="E36:K36"/>
    <mergeCell ref="E37:K37"/>
    <mergeCell ref="E38:K38"/>
    <mergeCell ref="E39:K39"/>
    <mergeCell ref="E40:K40"/>
    <mergeCell ref="E41:K41"/>
    <mergeCell ref="E35:K35"/>
    <mergeCell ref="E24:K24"/>
    <mergeCell ref="E25:K25"/>
    <mergeCell ref="E26:K26"/>
    <mergeCell ref="E27:K27"/>
    <mergeCell ref="E28:K28"/>
    <mergeCell ref="E29:K29"/>
  </mergeCells>
  <conditionalFormatting sqref="C15:K42">
    <cfRule type="expression" dxfId="68" priority="2">
      <formula>$E$46&lt;TODAY()</formula>
    </cfRule>
  </conditionalFormatting>
  <conditionalFormatting sqref="E47">
    <cfRule type="expression" dxfId="67" priority="1">
      <formula>$E$46&lt;TODAY()</formula>
    </cfRule>
  </conditionalFormatting>
  <hyperlinks>
    <hyperlink ref="C28" location="Due_org!A1" display="Due_org"/>
    <hyperlink ref="C39" location="Gemarkungen!A1" display="Gemarkungen"/>
    <hyperlink ref="C106" r:id="rId1"/>
  </hyperlinks>
  <pageMargins left="0.70866141732283472" right="0.70866141732283472" top="0.78740157480314965" bottom="0.78740157480314965" header="0.31496062992125984" footer="0.31496062992125984"/>
  <pageSetup paperSize="9" scale="77" orientation="portrait" r:id="rId2"/>
  <headerFooter>
    <oddFooter>&amp;LDüngung BW&amp;C&amp;F&amp;A&amp;R&amp;D</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7" tint="0.59999389629810485"/>
    <pageSetUpPr fitToPage="1"/>
  </sheetPr>
  <dimension ref="C1:V297"/>
  <sheetViews>
    <sheetView showGridLines="0" zoomScaleNormal="100" workbookViewId="0">
      <pane ySplit="15" topLeftCell="A28" activePane="bottomLeft" state="frozen"/>
      <selection activeCell="A10" sqref="A10"/>
      <selection pane="bottomLeft" activeCell="G50" sqref="G50"/>
    </sheetView>
  </sheetViews>
  <sheetFormatPr baseColWidth="10" defaultRowHeight="14.25" x14ac:dyDescent="0.2"/>
  <cols>
    <col min="1" max="1" width="0.375" customWidth="1"/>
    <col min="2" max="2" width="2.75" customWidth="1"/>
    <col min="3" max="3" width="10.625" customWidth="1"/>
    <col min="5" max="5" width="13" customWidth="1"/>
    <col min="7" max="7" width="13.375" customWidth="1"/>
    <col min="11" max="11" width="39.625" style="1744" customWidth="1"/>
    <col min="20" max="20" width="46.875" customWidth="1"/>
  </cols>
  <sheetData>
    <row r="1" spans="3:17" ht="2.85" customHeight="1" x14ac:dyDescent="0.2"/>
    <row r="2" spans="3:17" ht="30.6" customHeight="1" x14ac:dyDescent="0.25">
      <c r="C2" s="396"/>
      <c r="D2" s="397"/>
      <c r="E2" s="397"/>
      <c r="F2" s="397"/>
      <c r="G2" s="397"/>
      <c r="H2" s="397"/>
      <c r="I2" s="397"/>
      <c r="J2" s="398"/>
      <c r="K2" s="1745"/>
    </row>
    <row r="3" spans="3:17" ht="18.399999999999999" x14ac:dyDescent="0.3">
      <c r="C3" s="155" t="str">
        <f>Startmenue!C2</f>
        <v>Düngung BW</v>
      </c>
      <c r="D3" s="156"/>
      <c r="E3" s="156"/>
      <c r="F3" s="156"/>
      <c r="G3" s="156"/>
      <c r="H3" s="156"/>
      <c r="I3" s="156"/>
      <c r="J3" s="157" t="s">
        <v>1</v>
      </c>
      <c r="K3" s="1746"/>
      <c r="O3" s="4"/>
      <c r="P3" s="4"/>
      <c r="Q3" s="4"/>
    </row>
    <row r="4" spans="3:17" ht="13.7" x14ac:dyDescent="0.2">
      <c r="C4" s="6" t="str">
        <f>OR_Eingabe!C4&amp;" "&amp;OR_Eingabe!J22</f>
        <v xml:space="preserve">Düngebedarfsberechnung Obst u. Reben </v>
      </c>
      <c r="D4" s="4"/>
      <c r="E4" s="4"/>
      <c r="F4" s="4"/>
      <c r="G4" s="4" t="s">
        <v>3934</v>
      </c>
      <c r="H4" s="4"/>
      <c r="I4" s="4"/>
      <c r="J4" s="161">
        <f>OR_Eingabe!J4</f>
        <v>0</v>
      </c>
      <c r="K4" s="1746"/>
      <c r="O4" s="4"/>
      <c r="P4" s="4"/>
      <c r="Q4" s="4"/>
    </row>
    <row r="5" spans="3:17" x14ac:dyDescent="0.25">
      <c r="C5" s="104" t="str">
        <f>Startmenue!C4</f>
        <v>(EXCEL-Anwendung, Stand: 06/03/2018)</v>
      </c>
      <c r="D5" s="3"/>
      <c r="E5" s="3"/>
      <c r="F5" s="3"/>
      <c r="G5" s="3"/>
      <c r="H5" s="3"/>
      <c r="I5" s="3"/>
      <c r="J5" s="648" t="str">
        <f>Startmenue!G2</f>
        <v>Version 1.2</v>
      </c>
      <c r="K5" s="1746"/>
      <c r="O5" s="4"/>
      <c r="P5" s="4"/>
      <c r="Q5" s="4"/>
    </row>
    <row r="6" spans="3:17" ht="0.75" customHeight="1" x14ac:dyDescent="0.2">
      <c r="C6" s="5"/>
      <c r="D6" s="4"/>
      <c r="E6" s="4"/>
      <c r="F6" s="4"/>
      <c r="G6" s="4"/>
      <c r="H6" s="4"/>
      <c r="I6" s="4"/>
      <c r="J6" s="10"/>
      <c r="K6" s="1746"/>
      <c r="O6" s="4"/>
      <c r="P6" s="4"/>
      <c r="Q6" s="4"/>
    </row>
    <row r="7" spans="3:17" ht="0.75" customHeight="1" x14ac:dyDescent="0.2">
      <c r="C7" s="5"/>
      <c r="D7" s="4"/>
      <c r="E7" s="4"/>
      <c r="F7" s="4"/>
      <c r="G7" s="4"/>
      <c r="H7" s="4"/>
      <c r="I7" s="4"/>
      <c r="J7" s="10"/>
      <c r="K7" s="1746"/>
      <c r="O7" s="4"/>
      <c r="P7" s="4"/>
      <c r="Q7" s="4"/>
    </row>
    <row r="8" spans="3:17" ht="0.75" customHeight="1" x14ac:dyDescent="0.2">
      <c r="C8" s="5"/>
      <c r="D8" s="4"/>
      <c r="E8" s="4"/>
      <c r="F8" s="4"/>
      <c r="G8" s="4"/>
      <c r="H8" s="4"/>
      <c r="I8" s="4"/>
      <c r="J8" s="10"/>
      <c r="K8" s="1746"/>
      <c r="O8" s="4"/>
      <c r="P8" s="4"/>
      <c r="Q8" s="4"/>
    </row>
    <row r="9" spans="3:17" ht="0.75" customHeight="1" x14ac:dyDescent="0.2">
      <c r="C9" s="5"/>
      <c r="F9" s="4"/>
      <c r="G9" s="4"/>
      <c r="H9" s="4"/>
      <c r="I9" s="4"/>
      <c r="J9" s="10"/>
      <c r="K9" s="1746"/>
      <c r="O9" s="4"/>
      <c r="P9" s="4"/>
      <c r="Q9" s="4"/>
    </row>
    <row r="10" spans="3:17" ht="8.1" customHeight="1" x14ac:dyDescent="0.2">
      <c r="C10" s="5"/>
      <c r="D10" s="4"/>
      <c r="E10" s="4"/>
      <c r="F10" s="4"/>
      <c r="G10" s="4"/>
      <c r="H10" s="4"/>
      <c r="I10" s="4"/>
      <c r="J10" s="10"/>
      <c r="K10" s="1746"/>
      <c r="O10" s="4"/>
      <c r="P10" s="4"/>
      <c r="Q10" s="4"/>
    </row>
    <row r="11" spans="3:17" x14ac:dyDescent="0.2">
      <c r="C11" s="170" t="s">
        <v>3</v>
      </c>
      <c r="D11" s="337"/>
      <c r="E11" s="435">
        <f>OR_Eingabe!E12</f>
        <v>0</v>
      </c>
      <c r="F11" s="436"/>
      <c r="G11" s="434" t="s">
        <v>4</v>
      </c>
      <c r="H11" s="1929">
        <f>OR_Eingabe!H12</f>
        <v>0</v>
      </c>
      <c r="I11" s="1971"/>
      <c r="J11" s="1931"/>
      <c r="K11" s="1746"/>
      <c r="O11" s="4"/>
      <c r="P11" s="4"/>
      <c r="Q11" s="4"/>
    </row>
    <row r="12" spans="3:17" x14ac:dyDescent="0.2">
      <c r="C12" s="12" t="s">
        <v>5</v>
      </c>
      <c r="D12" s="13"/>
      <c r="E12" s="1892">
        <f>OR_Eingabe!E13</f>
        <v>0</v>
      </c>
      <c r="F12" s="1893"/>
      <c r="G12" s="8"/>
      <c r="H12" s="1897"/>
      <c r="I12" s="1898"/>
      <c r="J12" s="1899"/>
      <c r="K12" s="1746"/>
      <c r="O12" s="4"/>
      <c r="P12" s="4"/>
      <c r="Q12" s="4"/>
    </row>
    <row r="13" spans="3:17" ht="13.7" x14ac:dyDescent="0.2">
      <c r="C13" s="12" t="s">
        <v>7</v>
      </c>
      <c r="D13" s="13"/>
      <c r="E13" s="391">
        <f>OR_Eingabe!E14</f>
        <v>0</v>
      </c>
      <c r="F13" s="28"/>
      <c r="G13" s="17" t="s">
        <v>6</v>
      </c>
      <c r="H13" s="160"/>
      <c r="I13" s="1892">
        <f>OR_Eingabe!I14</f>
        <v>0</v>
      </c>
      <c r="J13" s="1893"/>
      <c r="K13" s="1746"/>
      <c r="O13" s="4"/>
      <c r="P13" s="4"/>
      <c r="Q13" s="4"/>
    </row>
    <row r="14" spans="3:17" x14ac:dyDescent="0.2">
      <c r="C14" s="12" t="s">
        <v>9</v>
      </c>
      <c r="D14" s="13"/>
      <c r="E14" s="391">
        <f>OR_Eingabe!E16</f>
        <v>0</v>
      </c>
      <c r="F14" s="28"/>
      <c r="G14" t="s">
        <v>4301</v>
      </c>
      <c r="H14" s="28"/>
      <c r="I14" s="1906">
        <f>OR_Eingabe!I16</f>
        <v>0</v>
      </c>
      <c r="J14" s="1907"/>
      <c r="K14" s="1746"/>
      <c r="O14" s="4"/>
      <c r="P14" s="4"/>
      <c r="Q14" s="4"/>
    </row>
    <row r="15" spans="3:17" x14ac:dyDescent="0.2">
      <c r="C15" s="12" t="s">
        <v>11</v>
      </c>
      <c r="D15" s="13"/>
      <c r="E15" s="1012">
        <f>OR_Eingabe!E17</f>
        <v>0</v>
      </c>
      <c r="F15" s="28"/>
      <c r="G15" s="12" t="s">
        <v>4304</v>
      </c>
      <c r="H15" s="28"/>
      <c r="I15" s="300" t="str">
        <f ca="1">OR_Eingabe!I17</f>
        <v>Gemeinde und Gemarkung auswählen!</v>
      </c>
      <c r="J15" s="148"/>
      <c r="K15" s="1746"/>
      <c r="O15" s="4"/>
      <c r="P15" s="4"/>
      <c r="Q15" s="4"/>
    </row>
    <row r="16" spans="3:17" ht="4.1500000000000004" customHeight="1" x14ac:dyDescent="0.2">
      <c r="C16" s="5"/>
      <c r="D16" s="4"/>
      <c r="E16" s="4"/>
      <c r="F16" s="4"/>
      <c r="G16" s="4"/>
      <c r="H16" s="4"/>
      <c r="I16" s="4"/>
      <c r="J16" s="10"/>
      <c r="K16" s="1746"/>
      <c r="O16" s="4"/>
      <c r="P16" s="4"/>
      <c r="Q16" s="4"/>
    </row>
    <row r="17" spans="3:22" x14ac:dyDescent="0.25">
      <c r="C17" s="339" t="s">
        <v>28</v>
      </c>
      <c r="D17" s="332"/>
      <c r="E17" s="340"/>
      <c r="F17" s="341"/>
      <c r="G17" s="332"/>
      <c r="H17" s="332"/>
      <c r="I17" s="332"/>
      <c r="J17" s="333"/>
      <c r="K17" s="1746"/>
    </row>
    <row r="18" spans="3:22" ht="0.75" customHeight="1" x14ac:dyDescent="0.2">
      <c r="C18" s="5"/>
      <c r="D18" s="29"/>
      <c r="E18" s="4"/>
      <c r="F18" s="30"/>
      <c r="G18" s="30"/>
      <c r="H18" s="30"/>
      <c r="I18" s="4"/>
      <c r="J18" s="52"/>
      <c r="K18" s="1746"/>
      <c r="O18" s="4"/>
      <c r="P18" s="4"/>
      <c r="Q18" s="4"/>
    </row>
    <row r="19" spans="3:22" x14ac:dyDescent="0.25">
      <c r="C19" s="5" t="s">
        <v>13</v>
      </c>
      <c r="D19" s="4"/>
      <c r="E19" s="4"/>
      <c r="F19" s="162" t="str">
        <f>Kulturen!$H$476</f>
        <v>auswählen !</v>
      </c>
      <c r="G19" s="30"/>
      <c r="H19" s="30"/>
      <c r="I19" s="111"/>
      <c r="J19" s="401" t="s">
        <v>30</v>
      </c>
      <c r="K19" s="1746"/>
      <c r="O19" s="4"/>
      <c r="Q19" s="4"/>
      <c r="V19" t="s">
        <v>30</v>
      </c>
    </row>
    <row r="20" spans="3:22" ht="13.7" x14ac:dyDescent="0.2">
      <c r="C20" s="174" t="s">
        <v>4269</v>
      </c>
      <c r="D20" s="163"/>
      <c r="E20" s="163"/>
      <c r="F20" s="181">
        <f>Kulturen!H483</f>
        <v>0</v>
      </c>
      <c r="G20" s="164"/>
      <c r="H20" s="164"/>
      <c r="I20" s="178"/>
      <c r="J20" s="343"/>
      <c r="K20" s="1746"/>
      <c r="O20" s="4"/>
      <c r="Q20" s="4"/>
    </row>
    <row r="21" spans="3:22" ht="13.7" x14ac:dyDescent="0.2">
      <c r="C21" s="24" t="s">
        <v>4723</v>
      </c>
      <c r="D21" s="1"/>
      <c r="E21" s="1"/>
      <c r="F21" s="92" t="str">
        <f>Kulturen!H477&amp;" (bei " &amp;Kulturen!H482&amp;" dt/ha) + ("&amp;Kulturen!H493&amp;") Korrektur"</f>
        <v>0 (bei 0 dt/ha) + (0) Korrektur</v>
      </c>
      <c r="G21" s="34"/>
      <c r="H21" s="34"/>
      <c r="I21" s="263"/>
      <c r="J21" s="438" t="str">
        <f>IF(Kulturen!H475=1,"",ROUND(Kulturen!H495,0))</f>
        <v/>
      </c>
      <c r="K21" s="1746"/>
      <c r="Q21" s="4"/>
      <c r="V21" t="s">
        <v>3652</v>
      </c>
    </row>
    <row r="22" spans="3:22" x14ac:dyDescent="0.2">
      <c r="C22" s="231" t="s">
        <v>4577</v>
      </c>
      <c r="D22" s="3"/>
      <c r="E22" s="3"/>
      <c r="F22" s="168"/>
      <c r="G22" s="169"/>
      <c r="H22" s="169"/>
      <c r="I22" s="262"/>
      <c r="J22" s="346"/>
      <c r="K22" s="1746"/>
      <c r="Q22" s="4"/>
    </row>
    <row r="23" spans="3:22" s="59" customFormat="1" ht="13.7" customHeight="1" x14ac:dyDescent="0.2">
      <c r="C23" s="232" t="s">
        <v>4724</v>
      </c>
      <c r="D23" s="70"/>
      <c r="E23" s="70"/>
      <c r="F23" s="233"/>
      <c r="G23" s="254"/>
      <c r="H23" s="254"/>
      <c r="I23" s="261"/>
      <c r="J23" s="439" t="str">
        <f>IF(Kulturen!H475=1,"",ROUND(OR_Eingabe!F28,0)*-1)</f>
        <v/>
      </c>
      <c r="K23" s="1747"/>
      <c r="L23"/>
      <c r="M23"/>
      <c r="N23"/>
      <c r="O23" s="58"/>
      <c r="Q23" s="58"/>
      <c r="V23" s="59" t="s">
        <v>3657</v>
      </c>
    </row>
    <row r="24" spans="3:22" x14ac:dyDescent="0.2">
      <c r="C24" s="12" t="str">
        <f>IF(AND(Kulturen!H479="Reben",OR_Eingabe!C35&lt;1.5%),"Zuschlag wegen geringen Humusgehaltes","N-Lieferung Boden (Humusgehalt)")</f>
        <v>N-Lieferung Boden (Humusgehalt)</v>
      </c>
      <c r="D24" s="31"/>
      <c r="E24" s="31"/>
      <c r="F24" s="264">
        <f>OR_Eingabe!C35</f>
        <v>0</v>
      </c>
      <c r="G24" s="32"/>
      <c r="H24" s="32"/>
      <c r="I24" s="85"/>
      <c r="J24" s="440" t="str">
        <f>IF(Kulturen!H475=1,"",ROUND(Kulturen!$H$599,0))</f>
        <v/>
      </c>
      <c r="K24" s="1746"/>
      <c r="O24" s="4"/>
      <c r="Q24" s="4"/>
      <c r="V24" t="s">
        <v>3655</v>
      </c>
    </row>
    <row r="25" spans="3:22" ht="13.7" customHeight="1" x14ac:dyDescent="0.2">
      <c r="C25" s="5" t="s">
        <v>3953</v>
      </c>
      <c r="D25" s="4"/>
      <c r="E25" s="4"/>
      <c r="F25" s="66" t="str">
        <f>Kulturen!H542</f>
        <v>keine organ./organ.-mineral. Düngung</v>
      </c>
      <c r="G25" s="33"/>
      <c r="H25" s="33"/>
      <c r="I25" s="180"/>
      <c r="J25" s="370" t="str">
        <f>IF(Kulturen!H475=1,"",ROUND(Kulturen!H546,0)*-1)</f>
        <v/>
      </c>
      <c r="K25" s="1746"/>
      <c r="O25" s="4"/>
      <c r="Q25" s="4"/>
      <c r="V25" t="s">
        <v>3654</v>
      </c>
    </row>
    <row r="26" spans="3:22" x14ac:dyDescent="0.2">
      <c r="C26" s="35" t="s">
        <v>4259</v>
      </c>
      <c r="D26" s="4"/>
      <c r="E26" s="4"/>
      <c r="F26" s="94" t="str">
        <f>IF(J25=0,"","( "&amp;Kulturen!H543&amp;" "&amp;Kulturen!I543&amp;" * "&amp;Kulturen!H544&amp;" "&amp;Kulturen!I544&amp;" * "&amp;Kulturen!H545&amp;" )")</f>
        <v>( 0 0 * 0 0 * 0 )</v>
      </c>
      <c r="G26" s="33"/>
      <c r="H26" s="33"/>
      <c r="I26" s="10"/>
      <c r="J26" s="345"/>
      <c r="K26" s="1746"/>
      <c r="O26" s="4"/>
      <c r="Q26" s="4"/>
    </row>
    <row r="27" spans="3:22" x14ac:dyDescent="0.2">
      <c r="C27" s="35"/>
      <c r="D27" s="4"/>
      <c r="E27" s="4"/>
      <c r="F27" s="66" t="str">
        <f>Kulturen!H557</f>
        <v>keine organ./organ.-mineral. Düngung</v>
      </c>
      <c r="G27" s="33"/>
      <c r="H27" s="33"/>
      <c r="I27" s="107"/>
      <c r="J27" s="370" t="str">
        <f>IF(Kulturen!H475=1,"",ROUND(Kulturen!H561,0)*-1)</f>
        <v/>
      </c>
      <c r="K27" s="1746"/>
      <c r="O27" s="4"/>
      <c r="Q27" s="4"/>
    </row>
    <row r="28" spans="3:22" x14ac:dyDescent="0.2">
      <c r="C28" s="35"/>
      <c r="D28" s="4"/>
      <c r="E28" s="4"/>
      <c r="F28" s="94" t="str">
        <f>IF(J27=0,"","( "&amp;Kulturen!H558&amp;" "&amp;Kulturen!I558&amp;" * "&amp;Kulturen!H559&amp;" "&amp;Kulturen!I559&amp;" * "&amp;Kulturen!H560&amp;" )")</f>
        <v>( 0 0 * 0 0 * 0 )</v>
      </c>
      <c r="G28" s="33"/>
      <c r="H28" s="33"/>
      <c r="I28" s="10"/>
      <c r="J28" s="345"/>
      <c r="K28" s="1746"/>
      <c r="O28" s="4"/>
      <c r="Q28" s="4"/>
    </row>
    <row r="29" spans="3:22" x14ac:dyDescent="0.2">
      <c r="C29" s="5" t="s">
        <v>4543</v>
      </c>
      <c r="D29" s="4"/>
      <c r="E29" s="4"/>
      <c r="F29" s="66" t="str">
        <f>Kulturen!$H$567</f>
        <v>keine Düngung mit Kompost</v>
      </c>
      <c r="G29" s="227"/>
      <c r="H29" s="227"/>
      <c r="I29" s="4"/>
      <c r="J29" s="404" t="str">
        <f>IF(Kulturen!$H$475=1,"",ROUND(Kulturen!$H$572,0))</f>
        <v/>
      </c>
      <c r="K29" s="1746"/>
      <c r="O29" s="4"/>
      <c r="Q29" s="4"/>
    </row>
    <row r="30" spans="3:22" x14ac:dyDescent="0.2">
      <c r="C30" s="35" t="s">
        <v>4544</v>
      </c>
      <c r="D30" s="4"/>
      <c r="E30" s="4"/>
      <c r="F30" s="94" t="str">
        <f>IFERROR(IF(J29=0,"","("&amp;Kulturen!$H$568&amp;" "&amp;Kulturen!$I$568&amp;" * "&amp;Kulturen!$H$569&amp;" "&amp;Kulturen!$I$569&amp;" "&amp;" * "&amp;ROUND(Kulturen!$H$571,2)&amp;")"),"")</f>
        <v/>
      </c>
      <c r="G30" s="227"/>
      <c r="H30" s="227"/>
      <c r="I30" s="4"/>
      <c r="J30" s="387"/>
      <c r="K30" s="1746"/>
      <c r="O30" s="4"/>
      <c r="Q30" s="4"/>
    </row>
    <row r="31" spans="3:22" x14ac:dyDescent="0.2">
      <c r="C31" s="36" t="str">
        <f>"im Ø, bezogen auf: " &amp;OR_Eingabe!H47 &amp; " bis " &amp;OR_Eingabe!F47 &amp; ")"</f>
        <v>im Ø, bezogen auf:  bis Planjahr?)</v>
      </c>
      <c r="D31" s="1048"/>
      <c r="E31" s="1524"/>
      <c r="F31" s="95"/>
      <c r="G31" s="226"/>
      <c r="H31" s="226"/>
      <c r="I31" s="8"/>
      <c r="J31" s="1049"/>
      <c r="K31" s="1746"/>
      <c r="O31" s="4"/>
      <c r="Q31" s="4"/>
    </row>
    <row r="32" spans="3:22" x14ac:dyDescent="0.2">
      <c r="C32" s="7" t="str">
        <f>IF(Kulturen!$H$480="Erdbeeren","Vorfrucht, Abfuhr Erntereste","")</f>
        <v/>
      </c>
      <c r="D32" s="8"/>
      <c r="E32" s="8"/>
      <c r="F32" s="93" t="str">
        <f>IF(Kulturen!$H$480="Erdbeeren",Kulturen!$H$524,"")</f>
        <v/>
      </c>
      <c r="G32" s="37"/>
      <c r="H32" s="37"/>
      <c r="I32" s="179"/>
      <c r="J32" s="1683">
        <f>IF(Kulturen!H475=1,0,IF(Kulturen!H480="Erdbeeren",Kulturen!H526*-1,0))</f>
        <v>0</v>
      </c>
      <c r="K32" s="1746"/>
      <c r="Q32" s="4"/>
      <c r="V32" t="s">
        <v>3653</v>
      </c>
    </row>
    <row r="33" spans="3:22" x14ac:dyDescent="0.2">
      <c r="C33" s="7" t="str">
        <f>IF(Kulturen!$H$480="Erdbeeren","Zwischenfrucht","")</f>
        <v/>
      </c>
      <c r="D33" s="8"/>
      <c r="E33" s="8"/>
      <c r="F33" s="1920" t="str">
        <f>IF(Kulturen!$H$480="Erdbeeren",Kulturen!H529,"")</f>
        <v/>
      </c>
      <c r="G33" s="1921"/>
      <c r="H33" s="1921"/>
      <c r="I33" s="1922"/>
      <c r="J33" s="1683">
        <f>IF(Kulturen!H480="Erdbeeren",Zwfru!G56*(-1),0)</f>
        <v>0</v>
      </c>
      <c r="K33" s="1746"/>
      <c r="Q33" s="4"/>
    </row>
    <row r="34" spans="3:22" x14ac:dyDescent="0.2">
      <c r="C34" s="12" t="s">
        <v>4270</v>
      </c>
      <c r="D34" s="31"/>
      <c r="E34" s="31"/>
      <c r="F34" s="90" t="str">
        <f>Kulturen!$H$629</f>
        <v>entfällt</v>
      </c>
      <c r="G34" s="32"/>
      <c r="H34" s="32"/>
      <c r="I34" s="85"/>
      <c r="J34" s="440" t="str">
        <f>IF(Kulturen!H475=1,"",ROUND(Kulturen!H630,0))</f>
        <v/>
      </c>
      <c r="K34" s="1746"/>
      <c r="O34" s="4"/>
      <c r="Q34" s="4"/>
      <c r="V34" t="s">
        <v>3656</v>
      </c>
    </row>
    <row r="35" spans="3:22" x14ac:dyDescent="0.2">
      <c r="C35" s="24" t="s">
        <v>4769</v>
      </c>
      <c r="D35" s="1"/>
      <c r="E35" s="1"/>
      <c r="F35" s="92" t="str">
        <f>IF(Kulturen!H479="Reben",Kulturen!H614,"entfällt")</f>
        <v>entfällt</v>
      </c>
      <c r="G35" s="34"/>
      <c r="H35" s="34"/>
      <c r="I35" s="2"/>
      <c r="J35" s="405" t="str">
        <f>IF(Kulturen!H475=1,"",ROUND(Kulturen!$H$616,0))</f>
        <v/>
      </c>
      <c r="K35" s="1746"/>
      <c r="O35" s="4"/>
      <c r="Q35" s="4"/>
    </row>
    <row r="36" spans="3:22" x14ac:dyDescent="0.2">
      <c r="C36" s="7" t="s">
        <v>4271</v>
      </c>
      <c r="D36" s="8"/>
      <c r="E36" s="8"/>
      <c r="F36" s="93"/>
      <c r="G36" s="37"/>
      <c r="H36" s="37"/>
      <c r="I36" s="179"/>
      <c r="J36" s="441"/>
      <c r="K36" s="1746"/>
      <c r="O36" s="4"/>
      <c r="Q36" s="4"/>
    </row>
    <row r="37" spans="3:22" x14ac:dyDescent="0.2">
      <c r="C37" s="167" t="s">
        <v>4272</v>
      </c>
      <c r="D37" s="3"/>
      <c r="E37" s="3"/>
      <c r="F37" s="168" t="str">
        <f>IF(Kulturen!H479="Reben",Kulturen!H605,"entfällt")</f>
        <v>entfällt</v>
      </c>
      <c r="G37" s="169"/>
      <c r="H37" s="169"/>
      <c r="I37" s="266"/>
      <c r="J37" s="442"/>
      <c r="K37" s="1746"/>
      <c r="O37" s="4"/>
      <c r="Q37" s="4"/>
    </row>
    <row r="38" spans="3:22" x14ac:dyDescent="0.2">
      <c r="C38" s="38"/>
      <c r="D38" s="39"/>
      <c r="E38" s="40"/>
      <c r="F38" s="41"/>
      <c r="G38" s="41"/>
      <c r="H38" s="41"/>
      <c r="I38" s="41"/>
      <c r="J38" s="443"/>
      <c r="K38" s="1746"/>
      <c r="O38" s="4"/>
      <c r="P38" s="4"/>
      <c r="Q38" s="4"/>
    </row>
    <row r="39" spans="3:22" ht="15" x14ac:dyDescent="0.25">
      <c r="C39" s="43"/>
      <c r="D39" s="44"/>
      <c r="E39" s="45"/>
      <c r="F39" s="45"/>
      <c r="G39" s="45"/>
      <c r="H39" s="97"/>
      <c r="I39" s="109" t="str">
        <f>IF(OR(Kulturen!H480="Reben",Kulturen!H480="Erdbeeren"),"kultur- und standortbezogene N-Obergrenze (DüV)","N-Düngebedarf")</f>
        <v>N-Düngebedarf</v>
      </c>
      <c r="J39" s="284" t="str">
        <f>IF(Kulturen!H475=1,"",Kulturen!H498)</f>
        <v/>
      </c>
      <c r="K39" s="1746"/>
      <c r="L39" s="1000"/>
      <c r="O39" s="4"/>
      <c r="P39" s="4"/>
    </row>
    <row r="40" spans="3:22" x14ac:dyDescent="0.2">
      <c r="C40" s="47"/>
      <c r="D40" s="48"/>
      <c r="E40" s="49"/>
      <c r="F40" s="49"/>
      <c r="G40" s="49"/>
      <c r="H40" s="49"/>
      <c r="I40" s="49"/>
      <c r="J40" s="50"/>
      <c r="K40" s="1746"/>
      <c r="O40" s="4"/>
      <c r="P40" s="4"/>
      <c r="Q40" s="4"/>
    </row>
    <row r="41" spans="3:22" ht="13.7" customHeight="1" x14ac:dyDescent="0.2">
      <c r="C41" s="622"/>
      <c r="D41" s="258"/>
      <c r="E41" s="110"/>
      <c r="F41" s="110"/>
      <c r="G41" s="110"/>
      <c r="H41" s="110"/>
      <c r="I41" s="110"/>
      <c r="J41" s="619" t="str">
        <f>IF(Kulturen!H475=1,"",IF(Kulturen!H480="Obst","",IF(Kulturen!I516=0,Kommentarliste!J12,Kommentarliste!J14)))</f>
        <v/>
      </c>
      <c r="K41" s="1749" t="str">
        <f>IF(Kommentarliste!R128=0,"",HYPERLINK("#OR_Kommentare!A1","&gt;&gt;&gt; Bitte Kommentare zum Ergebnis einsehen!"))</f>
        <v>&gt;&gt;&gt; Bitte Kommentare zum Ergebnis einsehen!</v>
      </c>
      <c r="O41" s="4"/>
      <c r="P41" s="4"/>
      <c r="Q41" s="4"/>
    </row>
    <row r="42" spans="3:22" ht="13.7" customHeight="1" x14ac:dyDescent="0.2">
      <c r="C42" s="255"/>
      <c r="D42" s="256"/>
      <c r="E42" s="257"/>
      <c r="F42" s="257"/>
      <c r="G42" s="257"/>
      <c r="H42" s="257"/>
      <c r="I42" s="257"/>
      <c r="J42" s="624"/>
      <c r="K42" s="1746"/>
      <c r="O42" s="4"/>
      <c r="P42" s="4"/>
      <c r="Q42" s="4"/>
    </row>
    <row r="43" spans="3:22" x14ac:dyDescent="0.2">
      <c r="C43" s="64"/>
      <c r="D43" s="269"/>
      <c r="E43" s="265"/>
      <c r="F43" s="265"/>
      <c r="G43" s="265"/>
      <c r="H43" s="265"/>
      <c r="I43" s="265"/>
      <c r="J43" s="270"/>
      <c r="K43" s="1746"/>
      <c r="O43" s="4"/>
      <c r="P43" s="4"/>
      <c r="Q43" s="4"/>
    </row>
    <row r="44" spans="3:22" ht="15" x14ac:dyDescent="0.25">
      <c r="C44" s="339" t="s">
        <v>34</v>
      </c>
      <c r="D44" s="332"/>
      <c r="E44" s="340"/>
      <c r="F44" s="341"/>
      <c r="G44" s="332"/>
      <c r="H44" s="332"/>
      <c r="I44" s="332"/>
      <c r="J44" s="333"/>
      <c r="K44" s="1746"/>
      <c r="O44" s="4"/>
      <c r="P44" s="4"/>
      <c r="Q44" s="4"/>
    </row>
    <row r="45" spans="3:22" s="59" customFormat="1" ht="13.7" customHeight="1" x14ac:dyDescent="0.2">
      <c r="C45" s="57"/>
      <c r="D45" s="58"/>
      <c r="E45" s="58"/>
      <c r="F45" s="1888" t="str">
        <f>Kulturen!$H$476</f>
        <v>auswählen !</v>
      </c>
      <c r="G45" s="1889"/>
      <c r="H45" s="457" t="s">
        <v>3944</v>
      </c>
      <c r="I45" s="458" t="s">
        <v>3945</v>
      </c>
      <c r="J45" s="459" t="s">
        <v>25</v>
      </c>
      <c r="K45" s="1747"/>
      <c r="L45"/>
      <c r="M45"/>
      <c r="N45"/>
      <c r="O45" s="58"/>
      <c r="P45" s="58"/>
      <c r="Q45" s="58"/>
    </row>
    <row r="46" spans="3:22" x14ac:dyDescent="0.2">
      <c r="C46" s="279" t="s">
        <v>13</v>
      </c>
      <c r="D46" s="214"/>
      <c r="E46" s="280"/>
      <c r="F46" s="1890"/>
      <c r="G46" s="1891"/>
      <c r="H46" s="374" t="s">
        <v>37</v>
      </c>
      <c r="I46" s="377" t="s">
        <v>37</v>
      </c>
      <c r="J46" s="378" t="s">
        <v>37</v>
      </c>
      <c r="K46" s="1746"/>
      <c r="O46" s="4"/>
      <c r="P46" s="4"/>
      <c r="Q46" s="4"/>
    </row>
    <row r="47" spans="3:22" x14ac:dyDescent="0.2">
      <c r="C47" s="53" t="s">
        <v>31</v>
      </c>
      <c r="D47" s="8"/>
      <c r="E47" s="55"/>
      <c r="F47" s="278">
        <f>Kulturen!$H$483</f>
        <v>0</v>
      </c>
      <c r="G47" s="56"/>
      <c r="H47" s="444"/>
      <c r="I47" s="449"/>
      <c r="J47" s="450"/>
      <c r="K47" s="1746"/>
      <c r="O47" s="4"/>
      <c r="P47" s="4"/>
      <c r="Q47" s="4"/>
    </row>
    <row r="48" spans="3:22" s="59" customFormat="1" ht="15.75" customHeight="1" x14ac:dyDescent="0.2">
      <c r="C48" s="237" t="s">
        <v>4273</v>
      </c>
      <c r="D48" s="238"/>
      <c r="E48" s="285"/>
      <c r="F48" s="239" t="str">
        <f>IF(Kulturen!H480="Reben","",Kulturen!H638&amp;" *"&amp;Kulturen!H640&amp;" / "&amp;Kulturen!H650&amp;" / "&amp;Kulturen!H660)</f>
        <v>0 *0 / 0 / 0</v>
      </c>
      <c r="G48" s="286"/>
      <c r="H48" s="445" t="str">
        <f>IF(Kulturen!H475=1,"",IF(Kulturen!H480="Reben","",Kulturen!H641))</f>
        <v/>
      </c>
      <c r="I48" s="451" t="str">
        <f>IF(Kulturen!H475=1,"",IF(Kulturen!H480="Reben","",Kulturen!H651))</f>
        <v/>
      </c>
      <c r="J48" s="452" t="str">
        <f>IF(Kulturen!H475=1,"",IF(Kulturen!H480="Reben","",Kulturen!H661))</f>
        <v/>
      </c>
      <c r="K48" s="1747"/>
      <c r="L48"/>
      <c r="M48"/>
      <c r="N48"/>
      <c r="O48" s="58"/>
      <c r="P48" s="58"/>
      <c r="Q48" s="58"/>
    </row>
    <row r="49" spans="3:17" x14ac:dyDescent="0.2">
      <c r="C49" s="240" t="str">
        <f>IF(Kulturen!H480="Reben","","Zuschlag nicht erntbare Restpflanze")</f>
        <v>Zuschlag nicht erntbare Restpflanze</v>
      </c>
      <c r="D49" s="3"/>
      <c r="E49" s="241"/>
      <c r="F49" s="242"/>
      <c r="G49" s="243"/>
      <c r="H49" s="446" t="str">
        <f>IF(Kulturen!H475=1,"",IF(Kulturen!H480="Reben","",Kulturen!H642))</f>
        <v/>
      </c>
      <c r="I49" s="453" t="str">
        <f>IF(Kulturen!H475=1,"",IF(Kulturen!H480="Reben","",Kulturen!H652))</f>
        <v/>
      </c>
      <c r="J49" s="454" t="str">
        <f>IF(Kulturen!H475=1,"",IF(Kulturen!H480="Reben","",Kulturen!H662))</f>
        <v/>
      </c>
      <c r="K49" s="1746"/>
      <c r="O49" s="4"/>
      <c r="P49" s="4"/>
      <c r="Q49" s="4"/>
    </row>
    <row r="50" spans="3:17" s="1698" customFormat="1" ht="28.5" customHeight="1" x14ac:dyDescent="0.2">
      <c r="C50" s="1885" t="s">
        <v>4778</v>
      </c>
      <c r="D50" s="1886"/>
      <c r="E50" s="1887"/>
      <c r="F50" s="1693" t="str">
        <f>IF(Kulturen!H480="Reben",Kulturen!H645&amp;" / "&amp;Kulturen!H655&amp;" / "&amp;Kulturen!H665,Kulturen!H644&amp;" / "&amp;Kulturen!H654&amp;" / "&amp;Kulturen!H664)</f>
        <v xml:space="preserve"> /  / </v>
      </c>
      <c r="G50" s="1694"/>
      <c r="H50" s="1695">
        <f>IF(Kulturen!H475=1,0,IF(Kulturen!H480="Reben",Kulturen!H672,Kulturen!H646))</f>
        <v>0</v>
      </c>
      <c r="I50" s="1696">
        <f>IF(Kulturen!H475=1,0,IF(Kulturen!H480="Reben",Kulturen!H673,Kulturen!H656))</f>
        <v>0</v>
      </c>
      <c r="J50" s="1697">
        <f>IF(Kulturen!H475=1,0,IF(Kulturen!H480="Reben",Kulturen!H674,Kulturen!H666))</f>
        <v>0</v>
      </c>
      <c r="K50" s="1751"/>
      <c r="O50" s="1699"/>
      <c r="P50" s="1699"/>
      <c r="Q50" s="1699"/>
    </row>
    <row r="51" spans="3:17" x14ac:dyDescent="0.2">
      <c r="C51" s="65" t="s">
        <v>4779</v>
      </c>
      <c r="D51" s="4"/>
      <c r="E51" s="48"/>
      <c r="F51" s="242"/>
      <c r="G51" s="243"/>
      <c r="H51" s="446"/>
      <c r="I51" s="453"/>
      <c r="J51" s="454"/>
      <c r="K51" s="1746"/>
      <c r="O51" s="4"/>
      <c r="P51" s="4"/>
      <c r="Q51" s="4"/>
    </row>
    <row r="52" spans="3:17" x14ac:dyDescent="0.2">
      <c r="C52" s="24" t="str">
        <f>IF(Kulturen!H480="Reben","","Düngung")</f>
        <v>Düngung</v>
      </c>
      <c r="D52" s="283" t="str">
        <f>IF(Kulturen!H480="Reben","","(org. und/oder min. n. Ernte d. Vorfrucht)")</f>
        <v>(org. und/oder min. n. Ernte d. Vorfrucht)</v>
      </c>
      <c r="E52" s="41"/>
      <c r="F52" s="1965" t="str">
        <f>IF(Kulturen!H480="Reben","",Kulturen!H542)</f>
        <v>keine organ./organ.-mineral. Düngung</v>
      </c>
      <c r="G52" s="1966"/>
      <c r="H52" s="1026" t="str">
        <f>IF(Kulturen!H475=1,"",IF(Kulturen!H480="Reben","",Kulturen!H549*-1))</f>
        <v/>
      </c>
      <c r="I52" s="383" t="str">
        <f>IF(Kulturen!H475=1,"",IF(Kulturen!H480="Reben","",Kulturen!H551*-1))</f>
        <v/>
      </c>
      <c r="J52" s="383" t="str">
        <f>IF(Kulturen!H475=1,"",IF(Kulturen!H480="Reben","",Kulturen!H553*-1))</f>
        <v/>
      </c>
      <c r="K52" s="1746"/>
      <c r="O52" s="4"/>
      <c r="P52" s="4"/>
      <c r="Q52" s="4"/>
    </row>
    <row r="53" spans="3:17" x14ac:dyDescent="0.2">
      <c r="C53" s="5" t="str">
        <f>IF(Kulturen!H480="Reben","","Düngemittel")</f>
        <v>Düngemittel</v>
      </c>
      <c r="D53" s="4"/>
      <c r="E53" s="4"/>
      <c r="F53" s="1967"/>
      <c r="G53" s="1968"/>
      <c r="H53" s="387"/>
      <c r="I53" s="354"/>
      <c r="J53" s="354"/>
      <c r="K53" s="1746"/>
      <c r="O53" s="4"/>
      <c r="P53" s="4"/>
      <c r="Q53" s="4"/>
    </row>
    <row r="54" spans="3:17" x14ac:dyDescent="0.2">
      <c r="C54" s="96" t="str">
        <f>IF(Kulturen!H480="Reben","","(P2O5/K2O/MgO-Gehalt, ausgebrachte Menge)")</f>
        <v>(P2O5/K2O/MgO-Gehalt, ausgebrachte Menge)</v>
      </c>
      <c r="D54" s="8"/>
      <c r="E54" s="55"/>
      <c r="F54" s="95" t="str">
        <f>IF(J25=0,"",IF(Kulturen!H480="Reben","","(( "&amp;Kulturen!H548&amp;" / "&amp;Kulturen!H550&amp;" / "&amp;Kulturen!H552&amp;" )"&amp;" * "&amp;Kulturen!H544&amp;" "&amp;Kulturen!I544&amp;")"))</f>
        <v>(( 0 / 0 / 0 ) * 0 0)</v>
      </c>
      <c r="G54" s="56"/>
      <c r="H54" s="367"/>
      <c r="I54" s="384"/>
      <c r="J54" s="384"/>
      <c r="K54" s="1746"/>
      <c r="O54" s="4"/>
      <c r="P54" s="4"/>
      <c r="Q54" s="4"/>
    </row>
    <row r="55" spans="3:17" x14ac:dyDescent="0.2">
      <c r="C55" s="47" t="str">
        <f>IF(OR(Kulturen!H480="Reben",Kulturen!H480="Obst",Kulturen!H480=0),"","Vorfrucht, Ertrag [dt/ha],")</f>
        <v/>
      </c>
      <c r="D55" s="4"/>
      <c r="E55" s="49"/>
      <c r="F55" s="1969" t="str">
        <f>IF(OR(Kulturen!H480="Reben",Kulturen!H480="Obst",Kulturen!H480=0),"",(Kulturen!H524)&amp;","&amp;OR_Eingabe!C55 &amp;" dt/ha")</f>
        <v/>
      </c>
      <c r="G55" s="1970"/>
      <c r="H55" s="376" t="str">
        <f>IF(Kulturen!H475=1,"",IF(OR(Kulturen!H480="Reben",Kulturen!H480="Obst"),"",Kulturen!H531*-1))</f>
        <v/>
      </c>
      <c r="I55" s="385" t="str">
        <f>IF(Kulturen!H475=1,"",IF(OR(Kulturen!H480="Reben",Kulturen!H480="Obst"),"",Kulturen!H532*-1))</f>
        <v/>
      </c>
      <c r="J55" s="386" t="str">
        <f>IF(Kulturen!H475=1,"",IF(OR(Kulturen!H480="Reben",Kulturen!H480="Obst"),"",Kulturen!H533*-1))</f>
        <v/>
      </c>
      <c r="K55" s="1746"/>
      <c r="O55" s="4"/>
      <c r="P55" s="4"/>
      <c r="Q55" s="4"/>
    </row>
    <row r="56" spans="3:17" x14ac:dyDescent="0.2">
      <c r="C56" s="240" t="str">
        <f>IF(OR(Kulturen!H480="Reben",Kulturen!H480="Obst",Kulturen!H480=0),"","Abfuhr Erntereste")</f>
        <v/>
      </c>
      <c r="D56" s="3"/>
      <c r="E56" s="241"/>
      <c r="F56" s="242" t="str">
        <f>IF(OR(Kulturen!H480="Reben",Kulturen!H480="Obst",Kulturen!H480=0),"",Kulturen!H525)</f>
        <v/>
      </c>
      <c r="G56" s="243"/>
      <c r="H56" s="190"/>
      <c r="I56" s="356"/>
      <c r="J56" s="437"/>
      <c r="K56" s="1746"/>
      <c r="P56" s="4"/>
      <c r="Q56" s="4"/>
    </row>
    <row r="57" spans="3:17" ht="13.7" customHeight="1" x14ac:dyDescent="0.2">
      <c r="C57" s="287"/>
      <c r="D57" s="163"/>
      <c r="E57" s="163"/>
      <c r="F57" s="163"/>
      <c r="G57" s="163"/>
      <c r="H57" s="447"/>
      <c r="I57" s="455"/>
      <c r="J57" s="456"/>
      <c r="K57" s="1746"/>
      <c r="P57" s="4"/>
      <c r="Q57" s="4"/>
    </row>
    <row r="58" spans="3:17" s="59" customFormat="1" ht="14.25" customHeight="1" x14ac:dyDescent="0.2">
      <c r="C58" s="244"/>
      <c r="D58" s="245"/>
      <c r="E58" s="245"/>
      <c r="F58" s="245"/>
      <c r="G58" s="246" t="s">
        <v>4266</v>
      </c>
      <c r="H58" s="448"/>
      <c r="I58" s="247" t="str">
        <f>IF(Kulturen!H687=0,"",IF(ISERROR(Kulturen!H677),"",IF(Kulturen!H677&lt;0,0,Kulturen!H677)))</f>
        <v/>
      </c>
      <c r="J58" s="247" t="str">
        <f>IF(Kulturen!H688=0,"",IF(ISERROR(Kulturen!H678),"",IF(Kulturen!H678&lt;0,0,Kulturen!H678)))</f>
        <v/>
      </c>
      <c r="K58" s="1752"/>
      <c r="L58"/>
      <c r="M58"/>
      <c r="N58"/>
      <c r="O58"/>
      <c r="P58" s="58"/>
      <c r="Q58" s="58"/>
    </row>
    <row r="59" spans="3:17" s="59" customFormat="1" ht="14.25" customHeight="1" x14ac:dyDescent="0.2">
      <c r="C59" s="249"/>
      <c r="D59" s="250"/>
      <c r="E59" s="250"/>
      <c r="F59" s="250"/>
      <c r="G59" s="251" t="str">
        <f>IF(OR(Kulturen!H480="Reben",Kulturen!H480="Erdbeeren"),"P2O5-Düngebedarf (DüV)","P2O5-Düngebedarf")</f>
        <v>P2O5-Düngebedarf</v>
      </c>
      <c r="H59" s="252" t="str">
        <f>IF(Kulturen!H686=0,"",IF(ISERROR(Kulturen!H676),"",IF(Kulturen!H676&lt;0,0,Kulturen!H676)))</f>
        <v/>
      </c>
      <c r="I59" s="252"/>
      <c r="J59" s="252"/>
      <c r="K59" s="1752"/>
      <c r="L59"/>
      <c r="M59"/>
      <c r="N59"/>
      <c r="O59"/>
      <c r="P59" s="58"/>
      <c r="Q59" s="58"/>
    </row>
    <row r="60" spans="3:17" x14ac:dyDescent="0.2">
      <c r="C60" s="47"/>
      <c r="D60" s="48"/>
      <c r="E60" s="49"/>
      <c r="F60" s="49"/>
      <c r="G60" s="49"/>
      <c r="H60" s="49"/>
      <c r="I60" s="49"/>
      <c r="J60" s="50"/>
      <c r="K60" s="1746"/>
      <c r="O60" s="4"/>
      <c r="P60" s="4"/>
      <c r="Q60" s="4"/>
    </row>
    <row r="61" spans="3:17" x14ac:dyDescent="0.2">
      <c r="C61" s="622"/>
      <c r="D61" s="258"/>
      <c r="E61" s="110"/>
      <c r="F61" s="110"/>
      <c r="G61" s="110"/>
      <c r="H61" s="110"/>
      <c r="I61" s="110"/>
      <c r="J61" s="623" t="str">
        <f>IF(Kulturen!H475=1,"",IF(Kulturen!H480="Obst","",IF(Kommentarliste!R134=0,Kommentarliste!J12,Kommentarliste!J14)))</f>
        <v/>
      </c>
      <c r="K61" s="1749" t="str">
        <f>IF(Kommentarliste!R150=0,"",HYPERLINK("#OR_Kommentare!A10","&gt;&gt;&gt; Bitte Kommentare zum Ergebnis einsehen!"))</f>
        <v>&gt;&gt;&gt; Bitte Kommentare zum Ergebnis einsehen!</v>
      </c>
      <c r="O61" s="4"/>
      <c r="P61" s="4"/>
      <c r="Q61" s="4"/>
    </row>
    <row r="62" spans="3:17" x14ac:dyDescent="0.2">
      <c r="C62" s="255"/>
      <c r="D62" s="256"/>
      <c r="E62" s="257"/>
      <c r="F62" s="257"/>
      <c r="G62" s="257"/>
      <c r="H62" s="257"/>
      <c r="I62" s="257"/>
      <c r="J62" s="625"/>
      <c r="K62" s="1746"/>
      <c r="O62" s="4"/>
      <c r="P62" s="4"/>
      <c r="Q62" s="4"/>
    </row>
    <row r="63" spans="3:17" x14ac:dyDescent="0.2">
      <c r="C63" s="38"/>
      <c r="D63" s="39"/>
      <c r="E63" s="41"/>
      <c r="F63" s="41"/>
      <c r="G63" s="41"/>
      <c r="H63" s="41"/>
      <c r="I63" s="41"/>
      <c r="J63" s="42"/>
      <c r="K63" s="1746"/>
      <c r="O63" s="4"/>
      <c r="P63" s="4"/>
      <c r="Q63" s="4"/>
    </row>
    <row r="64" spans="3:17" ht="15" x14ac:dyDescent="0.25">
      <c r="C64" s="416" t="s">
        <v>38</v>
      </c>
      <c r="D64" s="413"/>
      <c r="E64" s="414"/>
      <c r="F64" s="414"/>
      <c r="G64" s="414"/>
      <c r="H64" s="414"/>
      <c r="I64" s="414"/>
      <c r="J64" s="415"/>
      <c r="K64" s="1746"/>
      <c r="O64" s="4"/>
      <c r="P64" s="4"/>
      <c r="Q64" s="4"/>
    </row>
    <row r="65" spans="3:17" x14ac:dyDescent="0.2">
      <c r="C65" s="5"/>
      <c r="D65" s="4"/>
      <c r="E65" s="4"/>
      <c r="F65" s="4"/>
      <c r="G65" s="4"/>
      <c r="H65" s="4"/>
      <c r="I65" s="49"/>
      <c r="J65" s="50"/>
      <c r="K65" s="1746"/>
      <c r="O65" s="4"/>
      <c r="P65" s="4"/>
      <c r="Q65" s="4"/>
    </row>
    <row r="66" spans="3:17" x14ac:dyDescent="0.2">
      <c r="C66" s="279" t="s">
        <v>13</v>
      </c>
      <c r="D66" s="214"/>
      <c r="E66" s="280"/>
      <c r="F66" s="281" t="str">
        <f>Kulturen!H476</f>
        <v>auswählen !</v>
      </c>
      <c r="G66" s="214"/>
      <c r="H66" s="3"/>
      <c r="I66" s="241"/>
      <c r="J66" s="243"/>
      <c r="K66" s="1746"/>
      <c r="O66" s="4"/>
      <c r="P66" s="4"/>
      <c r="Q66" s="4"/>
    </row>
    <row r="67" spans="3:17" x14ac:dyDescent="0.2">
      <c r="C67" s="53" t="s">
        <v>3577</v>
      </c>
      <c r="D67" s="8"/>
      <c r="E67" s="55"/>
      <c r="F67" s="255" t="str">
        <f>'OR_Kalk '!F49</f>
        <v>sandiger bis schluffiger Lehm, sL - uL</v>
      </c>
      <c r="G67" s="8"/>
      <c r="H67" s="55"/>
      <c r="I67" s="8"/>
      <c r="J67" s="9"/>
      <c r="K67" s="1746"/>
      <c r="O67" s="4"/>
      <c r="P67" s="4"/>
      <c r="Q67" s="4"/>
    </row>
    <row r="68" spans="3:17" x14ac:dyDescent="0.2">
      <c r="C68" s="62" t="s">
        <v>40</v>
      </c>
      <c r="D68" s="31"/>
      <c r="E68" s="63"/>
      <c r="F68" s="139">
        <f>OR_Eingabe!C35</f>
        <v>0</v>
      </c>
      <c r="G68" s="63"/>
      <c r="H68" s="63"/>
      <c r="I68" s="31"/>
      <c r="J68" s="13"/>
      <c r="K68" s="1746"/>
      <c r="O68" s="4"/>
      <c r="P68" s="4"/>
      <c r="Q68" s="4"/>
    </row>
    <row r="69" spans="3:17" x14ac:dyDescent="0.2">
      <c r="C69" s="47" t="s">
        <v>41</v>
      </c>
      <c r="D69" s="4"/>
      <c r="E69" s="49"/>
      <c r="F69" s="140">
        <f>ROUND('OR_Kalk '!F50,1)</f>
        <v>6</v>
      </c>
      <c r="G69" s="141" t="str">
        <f>IF(OR_Eingabe!C35=0,"",'OR_Kalk '!D53)</f>
        <v/>
      </c>
      <c r="H69" s="4"/>
      <c r="I69" s="49"/>
      <c r="J69" s="50"/>
      <c r="K69" s="1746"/>
      <c r="O69" s="4"/>
      <c r="P69" s="4"/>
      <c r="Q69" s="4"/>
    </row>
    <row r="70" spans="3:17" ht="15" x14ac:dyDescent="0.25">
      <c r="C70" s="67"/>
      <c r="D70" s="68"/>
      <c r="E70" s="69"/>
      <c r="F70" s="69"/>
      <c r="G70" s="72"/>
      <c r="H70" s="182"/>
      <c r="I70" s="108" t="s">
        <v>3952</v>
      </c>
      <c r="J70" s="191" t="str">
        <f>IF(Kommentarliste!$R$149=1,"",'OR_Kalk '!D51)</f>
        <v/>
      </c>
      <c r="K70" s="1746"/>
      <c r="O70" s="4"/>
      <c r="P70" s="4"/>
      <c r="Q70" s="4"/>
    </row>
    <row r="71" spans="3:17" ht="15" x14ac:dyDescent="0.25">
      <c r="C71" s="67"/>
      <c r="D71" s="68"/>
      <c r="E71" s="69"/>
      <c r="F71" s="69"/>
      <c r="G71" s="69"/>
      <c r="H71" s="182"/>
      <c r="I71" s="108" t="s">
        <v>43</v>
      </c>
      <c r="J71" s="191" t="str">
        <f>IF(Kommentarliste!$R$149=1,"",'OR_Kalk '!D52)</f>
        <v/>
      </c>
      <c r="K71" s="1746"/>
      <c r="O71" s="4"/>
      <c r="P71" s="4"/>
      <c r="Q71" s="4"/>
    </row>
    <row r="72" spans="3:17" x14ac:dyDescent="0.2">
      <c r="C72" s="259"/>
      <c r="D72" s="256"/>
      <c r="E72" s="257"/>
      <c r="F72" s="257"/>
      <c r="G72" s="257"/>
      <c r="H72" s="257"/>
      <c r="I72" s="257"/>
      <c r="J72" s="267"/>
      <c r="K72" s="1746"/>
      <c r="O72" s="4"/>
      <c r="P72" s="4"/>
      <c r="Q72" s="4"/>
    </row>
    <row r="83" spans="3:17" x14ac:dyDescent="0.2">
      <c r="C83" s="74"/>
      <c r="D83" s="74"/>
      <c r="E83" s="74"/>
      <c r="F83" s="74"/>
      <c r="G83" s="74"/>
      <c r="H83" s="74"/>
      <c r="I83" s="74"/>
      <c r="J83" s="74"/>
      <c r="O83" s="4"/>
      <c r="P83" s="4"/>
      <c r="Q83" s="4"/>
    </row>
    <row r="84" spans="3:17" x14ac:dyDescent="0.2">
      <c r="C84" s="74"/>
      <c r="D84" s="74"/>
      <c r="E84" s="74"/>
      <c r="F84" s="74"/>
      <c r="G84" s="74"/>
      <c r="H84" s="74"/>
      <c r="I84" s="74"/>
      <c r="J84" s="74"/>
      <c r="O84" s="4"/>
      <c r="P84" s="4"/>
      <c r="Q84" s="4"/>
    </row>
    <row r="85" spans="3:17" x14ac:dyDescent="0.2">
      <c r="C85" s="74"/>
      <c r="D85" s="74"/>
      <c r="E85" s="74"/>
      <c r="F85" s="74"/>
      <c r="G85" s="74"/>
      <c r="H85" s="74"/>
      <c r="I85" s="74"/>
      <c r="J85" s="74"/>
      <c r="O85" s="4"/>
      <c r="P85" s="4"/>
      <c r="Q85" s="4"/>
    </row>
    <row r="86" spans="3:17" x14ac:dyDescent="0.2">
      <c r="C86" s="74"/>
      <c r="D86" s="74"/>
      <c r="E86" s="74"/>
      <c r="F86" s="74"/>
      <c r="G86" s="74"/>
      <c r="H86" s="74"/>
      <c r="I86" s="74"/>
      <c r="J86" s="74"/>
      <c r="O86" s="4"/>
      <c r="P86" s="4"/>
      <c r="Q86" s="4"/>
    </row>
    <row r="87" spans="3:17" x14ac:dyDescent="0.2">
      <c r="C87" s="74"/>
      <c r="D87" s="74"/>
      <c r="E87" s="74"/>
      <c r="F87" s="74"/>
      <c r="G87" s="74"/>
      <c r="H87" s="74"/>
      <c r="I87" s="74"/>
      <c r="J87" s="74"/>
      <c r="O87" s="4"/>
      <c r="P87" s="4"/>
      <c r="Q87" s="4"/>
    </row>
    <row r="88" spans="3:17" x14ac:dyDescent="0.2">
      <c r="C88" s="74"/>
      <c r="D88" s="74"/>
      <c r="E88" s="74"/>
      <c r="F88" s="74"/>
      <c r="G88" s="74"/>
      <c r="H88" s="74"/>
      <c r="I88" s="74"/>
      <c r="J88" s="74"/>
      <c r="O88" s="4"/>
      <c r="P88" s="4"/>
      <c r="Q88" s="4"/>
    </row>
    <row r="89" spans="3:17" x14ac:dyDescent="0.2">
      <c r="C89" s="74"/>
      <c r="D89" s="74"/>
      <c r="E89" s="74"/>
      <c r="F89" s="74"/>
      <c r="G89" s="74"/>
      <c r="H89" s="74"/>
      <c r="I89" s="74"/>
      <c r="J89" s="74"/>
      <c r="O89" s="4"/>
      <c r="P89" s="4"/>
      <c r="Q89" s="4"/>
    </row>
    <row r="90" spans="3:17" x14ac:dyDescent="0.2">
      <c r="C90" s="74"/>
      <c r="D90" s="74"/>
      <c r="E90" s="74"/>
      <c r="F90" s="74"/>
      <c r="G90" s="74"/>
      <c r="H90" s="74"/>
      <c r="I90" s="74"/>
      <c r="J90" s="74"/>
      <c r="O90" s="4"/>
      <c r="P90" s="4"/>
      <c r="Q90" s="4"/>
    </row>
    <row r="91" spans="3:17" x14ac:dyDescent="0.2">
      <c r="C91" s="74"/>
      <c r="D91" s="74"/>
      <c r="E91" s="74"/>
      <c r="F91" s="74"/>
      <c r="G91" s="74"/>
      <c r="H91" s="74"/>
      <c r="I91" s="74"/>
      <c r="J91" s="74"/>
      <c r="O91" s="4"/>
      <c r="P91" s="4"/>
      <c r="Q91" s="4"/>
    </row>
    <row r="92" spans="3:17" x14ac:dyDescent="0.2">
      <c r="C92" s="74"/>
      <c r="D92" s="74"/>
      <c r="E92" s="74"/>
      <c r="F92" s="74"/>
      <c r="G92" s="74"/>
      <c r="H92" s="74"/>
      <c r="I92" s="74"/>
      <c r="J92" s="74"/>
      <c r="O92" s="4"/>
      <c r="P92" s="4"/>
      <c r="Q92" s="4"/>
    </row>
    <row r="93" spans="3:17" x14ac:dyDescent="0.2">
      <c r="C93" s="74"/>
      <c r="D93" s="74"/>
      <c r="E93" s="74"/>
      <c r="F93" s="74"/>
      <c r="G93" s="74"/>
      <c r="H93" s="74"/>
      <c r="I93" s="74"/>
      <c r="J93" s="74"/>
      <c r="O93" s="4"/>
      <c r="P93" s="4"/>
      <c r="Q93" s="4"/>
    </row>
    <row r="94" spans="3:17" x14ac:dyDescent="0.2">
      <c r="C94" s="74"/>
      <c r="D94" s="74"/>
      <c r="E94" s="74"/>
      <c r="F94" s="74"/>
      <c r="G94" s="74"/>
      <c r="H94" s="74"/>
      <c r="I94" s="74"/>
      <c r="J94" s="74"/>
      <c r="O94" s="4"/>
      <c r="P94" s="4"/>
      <c r="Q94" s="4"/>
    </row>
    <row r="95" spans="3:17" x14ac:dyDescent="0.2">
      <c r="C95" s="74"/>
      <c r="D95" s="74"/>
      <c r="E95" s="74"/>
      <c r="F95" s="74"/>
      <c r="G95" s="74"/>
      <c r="H95" s="74"/>
      <c r="I95" s="74"/>
      <c r="J95" s="74"/>
      <c r="O95" s="4"/>
      <c r="P95" s="4"/>
      <c r="Q95" s="4"/>
    </row>
    <row r="96" spans="3:17" x14ac:dyDescent="0.2">
      <c r="C96" s="74"/>
      <c r="D96" s="74"/>
      <c r="E96" s="74"/>
      <c r="F96" s="74"/>
      <c r="G96" s="74"/>
      <c r="H96" s="74"/>
      <c r="I96" s="74"/>
      <c r="J96" s="74"/>
      <c r="O96" s="4"/>
      <c r="P96" s="4"/>
      <c r="Q96" s="4"/>
    </row>
    <row r="97" spans="3:17" x14ac:dyDescent="0.2">
      <c r="C97" s="74"/>
      <c r="D97" s="74"/>
      <c r="E97" s="74"/>
      <c r="F97" s="74"/>
      <c r="G97" s="74"/>
      <c r="H97" s="74"/>
      <c r="I97" s="74"/>
      <c r="J97" s="74"/>
      <c r="O97" s="4"/>
      <c r="P97" s="4"/>
      <c r="Q97" s="4"/>
    </row>
    <row r="98" spans="3:17" x14ac:dyDescent="0.2">
      <c r="C98" s="74"/>
      <c r="D98" s="74"/>
      <c r="E98" s="74"/>
      <c r="F98" s="74"/>
      <c r="G98" s="74"/>
      <c r="H98" s="74"/>
      <c r="I98" s="74"/>
      <c r="J98" s="74"/>
      <c r="O98" s="4"/>
      <c r="P98" s="4"/>
      <c r="Q98" s="4"/>
    </row>
    <row r="99" spans="3:17" x14ac:dyDescent="0.2">
      <c r="C99" s="74"/>
      <c r="D99" s="74"/>
      <c r="E99" s="74"/>
      <c r="F99" s="74"/>
      <c r="G99" s="74"/>
      <c r="H99" s="74"/>
      <c r="I99" s="74"/>
      <c r="J99" s="74"/>
      <c r="O99" s="4"/>
      <c r="P99" s="4"/>
      <c r="Q99" s="4"/>
    </row>
    <row r="100" spans="3:17" x14ac:dyDescent="0.2">
      <c r="C100" s="74"/>
      <c r="D100" s="74"/>
      <c r="E100" s="74"/>
      <c r="F100" s="74"/>
      <c r="G100" s="74"/>
      <c r="H100" s="74"/>
      <c r="I100" s="74"/>
      <c r="J100" s="74"/>
      <c r="O100" s="4"/>
      <c r="P100" s="4"/>
      <c r="Q100" s="4"/>
    </row>
    <row r="101" spans="3:17" x14ac:dyDescent="0.2">
      <c r="C101" s="74"/>
      <c r="D101" s="74"/>
      <c r="E101" s="74"/>
      <c r="F101" s="74"/>
      <c r="G101" s="74"/>
      <c r="H101" s="74"/>
      <c r="I101" s="74"/>
      <c r="J101" s="74"/>
      <c r="O101" s="4"/>
      <c r="P101" s="4"/>
      <c r="Q101" s="4"/>
    </row>
    <row r="102" spans="3:17" x14ac:dyDescent="0.2">
      <c r="C102" s="74"/>
      <c r="D102" s="74"/>
      <c r="E102" s="74"/>
      <c r="F102" s="74"/>
      <c r="G102" s="74"/>
      <c r="H102" s="74"/>
      <c r="I102" s="74"/>
      <c r="J102" s="74"/>
      <c r="O102" s="4"/>
      <c r="P102" s="4"/>
      <c r="Q102" s="4"/>
    </row>
    <row r="103" spans="3:17" x14ac:dyDescent="0.2">
      <c r="C103" s="74"/>
      <c r="D103" s="74"/>
      <c r="E103" s="74"/>
      <c r="F103" s="74"/>
      <c r="G103" s="74"/>
      <c r="H103" s="74"/>
      <c r="I103" s="74"/>
      <c r="J103" s="74"/>
      <c r="O103" s="4"/>
      <c r="P103" s="4"/>
      <c r="Q103" s="4"/>
    </row>
    <row r="104" spans="3:17" x14ac:dyDescent="0.2">
      <c r="C104" s="74"/>
      <c r="D104" s="74"/>
      <c r="E104" s="74"/>
      <c r="F104" s="74"/>
      <c r="G104" s="74"/>
      <c r="H104" s="74"/>
      <c r="I104" s="74"/>
      <c r="J104" s="74"/>
      <c r="O104" s="4"/>
      <c r="P104" s="4"/>
      <c r="Q104" s="4"/>
    </row>
    <row r="105" spans="3:17" x14ac:dyDescent="0.2">
      <c r="C105" s="74"/>
      <c r="D105" s="74"/>
      <c r="E105" s="74"/>
      <c r="F105" s="74"/>
      <c r="G105" s="74"/>
      <c r="H105" s="74"/>
      <c r="I105" s="74"/>
      <c r="J105" s="74"/>
      <c r="O105" s="4"/>
      <c r="P105" s="4"/>
      <c r="Q105" s="4"/>
    </row>
    <row r="106" spans="3:17" x14ac:dyDescent="0.2">
      <c r="C106" s="74"/>
      <c r="D106" s="74"/>
      <c r="E106" s="74"/>
      <c r="F106" s="74"/>
      <c r="G106" s="74"/>
      <c r="H106" s="74"/>
      <c r="I106" s="74"/>
      <c r="J106" s="74"/>
      <c r="O106" s="4"/>
      <c r="P106" s="4"/>
      <c r="Q106" s="4"/>
    </row>
    <row r="107" spans="3:17" x14ac:dyDescent="0.2">
      <c r="C107" s="74"/>
      <c r="D107" s="74"/>
      <c r="E107" s="74"/>
      <c r="F107" s="74"/>
      <c r="G107" s="74"/>
      <c r="H107" s="74"/>
      <c r="I107" s="74"/>
      <c r="J107" s="74"/>
      <c r="O107" s="4"/>
      <c r="P107" s="4"/>
      <c r="Q107" s="4"/>
    </row>
    <row r="108" spans="3:17" x14ac:dyDescent="0.2">
      <c r="C108" s="74"/>
      <c r="D108" s="74"/>
      <c r="E108" s="74"/>
      <c r="F108" s="74"/>
      <c r="G108" s="74"/>
      <c r="H108" s="74"/>
      <c r="I108" s="74"/>
      <c r="J108" s="74"/>
      <c r="O108" s="4"/>
      <c r="P108" s="4"/>
      <c r="Q108" s="4"/>
    </row>
    <row r="109" spans="3:17" x14ac:dyDescent="0.2">
      <c r="C109" s="74"/>
      <c r="D109" s="74"/>
      <c r="E109" s="74"/>
      <c r="F109" s="74"/>
      <c r="G109" s="74"/>
      <c r="H109" s="74"/>
      <c r="I109" s="74"/>
      <c r="J109" s="74"/>
      <c r="O109" s="4"/>
      <c r="P109" s="4"/>
      <c r="Q109" s="4"/>
    </row>
    <row r="110" spans="3:17" x14ac:dyDescent="0.2">
      <c r="C110" s="74"/>
      <c r="D110" s="74"/>
      <c r="E110" s="74"/>
      <c r="F110" s="74"/>
      <c r="G110" s="74"/>
      <c r="H110" s="74"/>
      <c r="I110" s="74"/>
      <c r="J110" s="74"/>
      <c r="O110" s="4"/>
      <c r="P110" s="4"/>
      <c r="Q110" s="4"/>
    </row>
    <row r="111" spans="3:17" x14ac:dyDescent="0.2">
      <c r="C111" s="74"/>
      <c r="D111" s="74"/>
      <c r="E111" s="74"/>
      <c r="F111" s="74"/>
      <c r="G111" s="74"/>
      <c r="H111" s="74"/>
      <c r="I111" s="74"/>
      <c r="J111" s="74"/>
      <c r="O111" s="4"/>
      <c r="P111" s="4"/>
      <c r="Q111" s="4"/>
    </row>
    <row r="112" spans="3:17" x14ac:dyDescent="0.2">
      <c r="C112" s="74"/>
      <c r="D112" s="74"/>
      <c r="E112" s="74"/>
      <c r="F112" s="74"/>
      <c r="G112" s="74"/>
      <c r="H112" s="74"/>
      <c r="I112" s="74"/>
      <c r="J112" s="74"/>
      <c r="O112" s="4"/>
      <c r="P112" s="4"/>
      <c r="Q112" s="4"/>
    </row>
    <row r="113" spans="3:17" x14ac:dyDescent="0.2">
      <c r="C113" s="74"/>
      <c r="D113" s="74"/>
      <c r="E113" s="74"/>
      <c r="F113" s="74"/>
      <c r="G113" s="74"/>
      <c r="H113" s="74"/>
      <c r="I113" s="74"/>
      <c r="J113" s="74"/>
      <c r="O113" s="4"/>
      <c r="P113" s="4"/>
      <c r="Q113" s="4"/>
    </row>
    <row r="114" spans="3:17" x14ac:dyDescent="0.2">
      <c r="C114" s="74"/>
      <c r="D114" s="74"/>
      <c r="E114" s="74"/>
      <c r="F114" s="74"/>
      <c r="G114" s="74"/>
      <c r="H114" s="74"/>
      <c r="I114" s="74"/>
      <c r="J114" s="74"/>
      <c r="O114" s="4"/>
      <c r="P114" s="4"/>
      <c r="Q114" s="4"/>
    </row>
    <row r="115" spans="3:17" x14ac:dyDescent="0.2">
      <c r="C115" s="74"/>
      <c r="D115" s="74"/>
      <c r="E115" s="74"/>
      <c r="F115" s="74"/>
      <c r="G115" s="74"/>
      <c r="H115" s="74"/>
      <c r="I115" s="74"/>
      <c r="J115" s="74"/>
      <c r="O115" s="4"/>
      <c r="P115" s="4"/>
      <c r="Q115" s="4"/>
    </row>
    <row r="116" spans="3:17" x14ac:dyDescent="0.2">
      <c r="C116" s="74"/>
      <c r="D116" s="74"/>
      <c r="E116" s="74"/>
      <c r="F116" s="74"/>
      <c r="G116" s="74"/>
      <c r="H116" s="74"/>
      <c r="I116" s="74"/>
      <c r="J116" s="74"/>
      <c r="O116" s="4"/>
      <c r="P116" s="4"/>
      <c r="Q116" s="4"/>
    </row>
    <row r="117" spans="3:17" x14ac:dyDescent="0.2">
      <c r="C117" s="74"/>
      <c r="D117" s="74"/>
      <c r="E117" s="74"/>
      <c r="F117" s="74"/>
      <c r="G117" s="74"/>
      <c r="H117" s="74"/>
      <c r="I117" s="74"/>
      <c r="J117" s="74"/>
      <c r="O117" s="4"/>
      <c r="P117" s="4"/>
      <c r="Q117" s="4"/>
    </row>
    <row r="118" spans="3:17" x14ac:dyDescent="0.2">
      <c r="C118" s="74"/>
      <c r="D118" s="74"/>
      <c r="E118" s="74"/>
      <c r="F118" s="74"/>
      <c r="G118" s="74"/>
      <c r="H118" s="74"/>
      <c r="I118" s="74"/>
      <c r="J118" s="74"/>
      <c r="O118" s="4"/>
      <c r="P118" s="4"/>
      <c r="Q118" s="4"/>
    </row>
    <row r="119" spans="3:17" x14ac:dyDescent="0.2">
      <c r="C119" s="74"/>
      <c r="D119" s="74"/>
      <c r="E119" s="74"/>
      <c r="F119" s="74"/>
      <c r="G119" s="74"/>
      <c r="H119" s="74"/>
      <c r="I119" s="74"/>
      <c r="J119" s="74"/>
      <c r="O119" s="4"/>
      <c r="P119" s="4"/>
      <c r="Q119" s="4"/>
    </row>
    <row r="120" spans="3:17" x14ac:dyDescent="0.2">
      <c r="C120" s="74"/>
      <c r="D120" s="74"/>
      <c r="E120" s="74"/>
      <c r="F120" s="74"/>
      <c r="G120" s="74"/>
      <c r="H120" s="74"/>
      <c r="I120" s="74"/>
      <c r="J120" s="74"/>
      <c r="O120" s="4"/>
      <c r="P120" s="4"/>
      <c r="Q120" s="4"/>
    </row>
    <row r="121" spans="3:17" x14ac:dyDescent="0.2">
      <c r="C121" s="74"/>
      <c r="D121" s="74"/>
      <c r="E121" s="74"/>
      <c r="F121" s="74"/>
      <c r="G121" s="74"/>
      <c r="H121" s="74"/>
      <c r="I121" s="74"/>
      <c r="J121" s="74"/>
      <c r="O121" s="4"/>
      <c r="P121" s="4"/>
      <c r="Q121" s="4"/>
    </row>
    <row r="122" spans="3:17" x14ac:dyDescent="0.2">
      <c r="C122" s="74"/>
      <c r="D122" s="74"/>
      <c r="E122" s="74"/>
      <c r="F122" s="74"/>
      <c r="G122" s="74"/>
      <c r="H122" s="74"/>
      <c r="I122" s="74"/>
      <c r="J122" s="74"/>
      <c r="O122" s="4"/>
      <c r="P122" s="4"/>
      <c r="Q122" s="4"/>
    </row>
    <row r="123" spans="3:17" x14ac:dyDescent="0.2">
      <c r="C123" s="74"/>
      <c r="D123" s="74"/>
      <c r="E123" s="74"/>
      <c r="F123" s="74"/>
      <c r="G123" s="74"/>
      <c r="H123" s="74"/>
      <c r="I123" s="74"/>
      <c r="J123" s="74"/>
      <c r="O123" s="4"/>
      <c r="P123" s="4"/>
      <c r="Q123" s="4"/>
    </row>
    <row r="124" spans="3:17" x14ac:dyDescent="0.2">
      <c r="C124" s="74"/>
      <c r="D124" s="74"/>
      <c r="E124" s="74"/>
      <c r="F124" s="74"/>
      <c r="G124" s="74"/>
      <c r="H124" s="74"/>
      <c r="I124" s="74"/>
      <c r="J124" s="74"/>
      <c r="O124" s="4"/>
      <c r="P124" s="4"/>
      <c r="Q124" s="4"/>
    </row>
    <row r="125" spans="3:17" x14ac:dyDescent="0.2">
      <c r="C125" s="74"/>
      <c r="D125" s="74"/>
      <c r="E125" s="74"/>
      <c r="F125" s="74"/>
      <c r="G125" s="74"/>
      <c r="H125" s="74"/>
      <c r="I125" s="74"/>
      <c r="J125" s="74"/>
      <c r="O125" s="4"/>
      <c r="P125" s="4"/>
      <c r="Q125" s="4"/>
    </row>
    <row r="126" spans="3:17" x14ac:dyDescent="0.2">
      <c r="C126" s="74"/>
      <c r="D126" s="74"/>
      <c r="E126" s="74"/>
      <c r="F126" s="74"/>
      <c r="G126" s="74"/>
      <c r="H126" s="74"/>
      <c r="I126" s="74"/>
      <c r="J126" s="74"/>
      <c r="O126" s="4"/>
      <c r="P126" s="4"/>
      <c r="Q126" s="4"/>
    </row>
    <row r="127" spans="3:17" x14ac:dyDescent="0.2">
      <c r="C127" s="74"/>
      <c r="D127" s="74"/>
      <c r="E127" s="74"/>
      <c r="F127" s="74"/>
      <c r="G127" s="74"/>
      <c r="H127" s="74"/>
      <c r="I127" s="74"/>
      <c r="J127" s="74"/>
      <c r="O127" s="4"/>
      <c r="P127" s="4"/>
      <c r="Q127" s="4"/>
    </row>
    <row r="128" spans="3:17" x14ac:dyDescent="0.2">
      <c r="C128" s="74"/>
      <c r="D128" s="74"/>
      <c r="E128" s="74"/>
      <c r="F128" s="74"/>
      <c r="G128" s="74"/>
      <c r="H128" s="74"/>
      <c r="I128" s="74"/>
      <c r="J128" s="74"/>
      <c r="O128" s="4"/>
      <c r="P128" s="4"/>
      <c r="Q128" s="4"/>
    </row>
    <row r="129" spans="3:17" x14ac:dyDescent="0.2">
      <c r="C129" s="74"/>
      <c r="D129" s="74"/>
      <c r="E129" s="74"/>
      <c r="F129" s="74"/>
      <c r="G129" s="74"/>
      <c r="H129" s="74"/>
      <c r="I129" s="74"/>
      <c r="J129" s="74"/>
      <c r="O129" s="4"/>
      <c r="P129" s="4"/>
      <c r="Q129" s="4"/>
    </row>
    <row r="130" spans="3:17" x14ac:dyDescent="0.2">
      <c r="C130" s="74"/>
      <c r="D130" s="74"/>
      <c r="E130" s="74"/>
      <c r="F130" s="74"/>
      <c r="G130" s="74"/>
      <c r="H130" s="74"/>
      <c r="I130" s="74"/>
      <c r="J130" s="74"/>
      <c r="O130" s="4"/>
      <c r="P130" s="4"/>
      <c r="Q130" s="4"/>
    </row>
    <row r="131" spans="3:17" x14ac:dyDescent="0.2">
      <c r="C131" s="74"/>
      <c r="D131" s="74"/>
      <c r="E131" s="74"/>
      <c r="F131" s="74"/>
      <c r="G131" s="74"/>
      <c r="H131" s="74"/>
      <c r="I131" s="74"/>
      <c r="J131" s="74"/>
      <c r="O131" s="4"/>
      <c r="P131" s="4"/>
      <c r="Q131" s="4"/>
    </row>
    <row r="132" spans="3:17" x14ac:dyDescent="0.2">
      <c r="C132" s="74"/>
      <c r="D132" s="74"/>
      <c r="E132" s="74"/>
      <c r="F132" s="74"/>
      <c r="G132" s="74"/>
      <c r="H132" s="74"/>
      <c r="I132" s="74"/>
      <c r="J132" s="74"/>
      <c r="O132" s="4"/>
      <c r="P132" s="4"/>
      <c r="Q132" s="4"/>
    </row>
    <row r="133" spans="3:17" x14ac:dyDescent="0.2">
      <c r="C133" s="74"/>
      <c r="D133" s="74"/>
      <c r="E133" s="74"/>
      <c r="F133" s="74"/>
      <c r="G133" s="74"/>
      <c r="H133" s="74"/>
      <c r="I133" s="74"/>
      <c r="J133" s="74"/>
      <c r="O133" s="4"/>
      <c r="P133" s="4"/>
      <c r="Q133" s="4"/>
    </row>
    <row r="134" spans="3:17" x14ac:dyDescent="0.2">
      <c r="C134" s="74"/>
      <c r="D134" s="74"/>
      <c r="E134" s="74"/>
      <c r="F134" s="74"/>
      <c r="G134" s="74"/>
      <c r="H134" s="74"/>
      <c r="I134" s="74"/>
      <c r="J134" s="74"/>
      <c r="O134" s="4"/>
      <c r="P134" s="4"/>
      <c r="Q134" s="4"/>
    </row>
    <row r="135" spans="3:17" x14ac:dyDescent="0.2">
      <c r="C135" s="74"/>
      <c r="D135" s="74"/>
      <c r="E135" s="74"/>
      <c r="F135" s="74"/>
      <c r="G135" s="74"/>
      <c r="H135" s="74"/>
      <c r="I135" s="74"/>
      <c r="J135" s="74"/>
      <c r="O135" s="4"/>
      <c r="P135" s="4"/>
      <c r="Q135" s="4"/>
    </row>
    <row r="136" spans="3:17" x14ac:dyDescent="0.2">
      <c r="C136" s="74"/>
      <c r="D136" s="74"/>
      <c r="E136" s="74"/>
      <c r="F136" s="74"/>
      <c r="G136" s="74"/>
      <c r="H136" s="74"/>
      <c r="I136" s="74"/>
      <c r="J136" s="74"/>
      <c r="O136" s="4"/>
      <c r="P136" s="4"/>
      <c r="Q136" s="4"/>
    </row>
    <row r="137" spans="3:17" x14ac:dyDescent="0.2">
      <c r="C137" s="74"/>
      <c r="D137" s="74"/>
      <c r="E137" s="74"/>
      <c r="F137" s="74"/>
      <c r="G137" s="74"/>
      <c r="H137" s="74"/>
      <c r="I137" s="74"/>
      <c r="J137" s="74"/>
      <c r="O137" s="4"/>
      <c r="P137" s="4"/>
      <c r="Q137" s="4"/>
    </row>
    <row r="138" spans="3:17" x14ac:dyDescent="0.2">
      <c r="C138" s="74"/>
      <c r="D138" s="74"/>
      <c r="E138" s="74"/>
      <c r="F138" s="74"/>
      <c r="G138" s="74"/>
      <c r="H138" s="74"/>
      <c r="I138" s="74"/>
      <c r="J138" s="74"/>
      <c r="O138" s="4"/>
      <c r="P138" s="4"/>
      <c r="Q138" s="4"/>
    </row>
    <row r="139" spans="3:17" x14ac:dyDescent="0.2">
      <c r="C139" s="74"/>
      <c r="D139" s="74"/>
      <c r="E139" s="74"/>
      <c r="F139" s="74"/>
      <c r="G139" s="74"/>
      <c r="H139" s="74"/>
      <c r="I139" s="74"/>
      <c r="J139" s="74"/>
      <c r="O139" s="4"/>
      <c r="P139" s="4"/>
      <c r="Q139" s="4"/>
    </row>
    <row r="140" spans="3:17" x14ac:dyDescent="0.2">
      <c r="C140" s="74"/>
      <c r="D140" s="74"/>
      <c r="E140" s="74"/>
      <c r="F140" s="74"/>
      <c r="G140" s="74"/>
      <c r="H140" s="74"/>
      <c r="I140" s="74"/>
      <c r="J140" s="74"/>
      <c r="O140" s="4"/>
      <c r="P140" s="4"/>
      <c r="Q140" s="4"/>
    </row>
    <row r="141" spans="3:17" x14ac:dyDescent="0.2">
      <c r="C141" s="74"/>
      <c r="D141" s="74"/>
      <c r="E141" s="74"/>
      <c r="F141" s="74"/>
      <c r="G141" s="74"/>
      <c r="H141" s="74"/>
      <c r="I141" s="74"/>
      <c r="J141" s="74"/>
      <c r="O141" s="4"/>
      <c r="P141" s="4"/>
      <c r="Q141" s="4"/>
    </row>
    <row r="142" spans="3:17" x14ac:dyDescent="0.2">
      <c r="C142" s="74"/>
      <c r="D142" s="74"/>
      <c r="E142" s="74"/>
      <c r="F142" s="74"/>
      <c r="G142" s="74"/>
      <c r="H142" s="74"/>
      <c r="I142" s="74"/>
      <c r="J142" s="74"/>
      <c r="O142" s="4"/>
      <c r="P142" s="4"/>
      <c r="Q142" s="4"/>
    </row>
    <row r="143" spans="3:17" x14ac:dyDescent="0.2">
      <c r="C143" s="74"/>
      <c r="D143" s="74"/>
      <c r="E143" s="74"/>
      <c r="F143" s="74"/>
      <c r="G143" s="74"/>
      <c r="H143" s="74"/>
      <c r="I143" s="74"/>
      <c r="J143" s="74"/>
      <c r="O143" s="4"/>
      <c r="P143" s="4"/>
      <c r="Q143" s="4"/>
    </row>
    <row r="144" spans="3:17" x14ac:dyDescent="0.2">
      <c r="C144" s="74"/>
      <c r="D144" s="74"/>
      <c r="E144" s="74"/>
      <c r="F144" s="74"/>
      <c r="G144" s="74"/>
      <c r="H144" s="74"/>
      <c r="I144" s="74"/>
      <c r="J144" s="74"/>
      <c r="O144" s="4"/>
      <c r="P144" s="4"/>
      <c r="Q144" s="4"/>
    </row>
    <row r="145" spans="3:17" x14ac:dyDescent="0.2">
      <c r="C145" s="74"/>
      <c r="D145" s="74"/>
      <c r="E145" s="74"/>
      <c r="F145" s="74"/>
      <c r="G145" s="74"/>
      <c r="H145" s="74"/>
      <c r="I145" s="74"/>
      <c r="J145" s="74"/>
      <c r="O145" s="4"/>
      <c r="P145" s="4"/>
      <c r="Q145" s="4"/>
    </row>
    <row r="146" spans="3:17" x14ac:dyDescent="0.2">
      <c r="C146" s="74"/>
      <c r="D146" s="74"/>
      <c r="E146" s="74"/>
      <c r="F146" s="74"/>
      <c r="G146" s="74"/>
      <c r="H146" s="74"/>
      <c r="I146" s="74"/>
      <c r="J146" s="74"/>
      <c r="O146" s="4"/>
      <c r="P146" s="4"/>
      <c r="Q146" s="4"/>
    </row>
    <row r="147" spans="3:17" x14ac:dyDescent="0.2">
      <c r="C147" s="74"/>
      <c r="D147" s="74"/>
      <c r="E147" s="74"/>
      <c r="F147" s="74"/>
      <c r="G147" s="74"/>
      <c r="H147" s="74"/>
      <c r="I147" s="74"/>
      <c r="J147" s="74"/>
      <c r="O147" s="4"/>
      <c r="P147" s="4"/>
      <c r="Q147" s="4"/>
    </row>
    <row r="148" spans="3:17" x14ac:dyDescent="0.2">
      <c r="C148" s="74"/>
      <c r="D148" s="74"/>
      <c r="E148" s="74"/>
      <c r="F148" s="74"/>
      <c r="G148" s="74"/>
      <c r="H148" s="74"/>
      <c r="I148" s="74"/>
      <c r="J148" s="74"/>
      <c r="O148" s="4"/>
      <c r="P148" s="4"/>
      <c r="Q148" s="4"/>
    </row>
    <row r="149" spans="3:17" x14ac:dyDescent="0.2">
      <c r="C149" s="74"/>
      <c r="D149" s="74"/>
      <c r="E149" s="74"/>
      <c r="F149" s="74"/>
      <c r="G149" s="74"/>
      <c r="H149" s="74"/>
      <c r="I149" s="74"/>
      <c r="J149" s="74"/>
      <c r="O149" s="4"/>
      <c r="P149" s="4"/>
      <c r="Q149" s="4"/>
    </row>
    <row r="150" spans="3:17" x14ac:dyDescent="0.2">
      <c r="C150" s="74"/>
      <c r="D150" s="74"/>
      <c r="E150" s="74"/>
      <c r="F150" s="74"/>
      <c r="G150" s="74"/>
      <c r="H150" s="74"/>
      <c r="I150" s="74"/>
      <c r="J150" s="74"/>
      <c r="O150" s="4"/>
      <c r="P150" s="4"/>
      <c r="Q150" s="4"/>
    </row>
    <row r="151" spans="3:17" x14ac:dyDescent="0.2">
      <c r="C151" s="74"/>
      <c r="D151" s="74"/>
      <c r="E151" s="74"/>
      <c r="F151" s="74"/>
      <c r="G151" s="74"/>
      <c r="H151" s="74"/>
      <c r="I151" s="74"/>
      <c r="J151" s="74"/>
      <c r="O151" s="4"/>
      <c r="P151" s="4"/>
      <c r="Q151" s="4"/>
    </row>
    <row r="152" spans="3:17" x14ac:dyDescent="0.2">
      <c r="C152" s="74"/>
      <c r="D152" s="74"/>
      <c r="E152" s="74"/>
      <c r="F152" s="74"/>
      <c r="G152" s="74"/>
      <c r="H152" s="74"/>
      <c r="I152" s="74"/>
      <c r="J152" s="74"/>
      <c r="O152" s="4"/>
      <c r="P152" s="4"/>
      <c r="Q152" s="4"/>
    </row>
    <row r="153" spans="3:17" x14ac:dyDescent="0.2">
      <c r="C153" s="74"/>
      <c r="D153" s="74"/>
      <c r="E153" s="74"/>
      <c r="F153" s="74"/>
      <c r="G153" s="74"/>
      <c r="H153" s="74"/>
      <c r="I153" s="74"/>
      <c r="J153" s="74"/>
      <c r="O153" s="4"/>
      <c r="P153" s="4"/>
      <c r="Q153" s="4"/>
    </row>
    <row r="154" spans="3:17" x14ac:dyDescent="0.2">
      <c r="C154" s="74"/>
      <c r="D154" s="74"/>
      <c r="E154" s="74"/>
      <c r="F154" s="74"/>
      <c r="G154" s="74"/>
      <c r="H154" s="74"/>
      <c r="I154" s="74"/>
      <c r="J154" s="74"/>
      <c r="O154" s="4"/>
      <c r="P154" s="4"/>
      <c r="Q154" s="4"/>
    </row>
    <row r="155" spans="3:17" x14ac:dyDescent="0.2">
      <c r="C155" s="74"/>
      <c r="D155" s="74"/>
      <c r="E155" s="74"/>
      <c r="F155" s="74"/>
      <c r="G155" s="74"/>
      <c r="H155" s="74"/>
      <c r="I155" s="74"/>
      <c r="J155" s="74"/>
      <c r="O155" s="4"/>
      <c r="P155" s="4"/>
      <c r="Q155" s="4"/>
    </row>
    <row r="156" spans="3:17" x14ac:dyDescent="0.2">
      <c r="C156" s="74"/>
      <c r="D156" s="74"/>
      <c r="E156" s="74"/>
      <c r="F156" s="74"/>
      <c r="G156" s="74"/>
      <c r="H156" s="74"/>
      <c r="I156" s="74"/>
      <c r="J156" s="74"/>
      <c r="O156" s="4"/>
      <c r="P156" s="4"/>
      <c r="Q156" s="4"/>
    </row>
    <row r="157" spans="3:17" x14ac:dyDescent="0.2">
      <c r="C157" s="74"/>
      <c r="D157" s="74"/>
      <c r="E157" s="74"/>
      <c r="F157" s="74"/>
      <c r="G157" s="74"/>
      <c r="H157" s="74"/>
      <c r="I157" s="74"/>
      <c r="J157" s="74"/>
      <c r="O157" s="4"/>
      <c r="P157" s="4"/>
      <c r="Q157" s="4"/>
    </row>
    <row r="158" spans="3:17" x14ac:dyDescent="0.2">
      <c r="C158" s="74"/>
      <c r="D158" s="74"/>
      <c r="E158" s="74"/>
      <c r="F158" s="74"/>
      <c r="G158" s="74"/>
      <c r="H158" s="74"/>
      <c r="I158" s="74"/>
      <c r="J158" s="74"/>
      <c r="O158" s="4"/>
      <c r="P158" s="4"/>
      <c r="Q158" s="4"/>
    </row>
    <row r="159" spans="3:17" x14ac:dyDescent="0.2">
      <c r="C159" s="74"/>
      <c r="D159" s="74"/>
      <c r="E159" s="74"/>
      <c r="F159" s="74"/>
      <c r="G159" s="74"/>
      <c r="H159" s="74"/>
      <c r="I159" s="74"/>
      <c r="J159" s="74"/>
      <c r="O159" s="4"/>
      <c r="P159" s="4"/>
      <c r="Q159" s="4"/>
    </row>
    <row r="160" spans="3:17" x14ac:dyDescent="0.2">
      <c r="C160" s="74"/>
      <c r="D160" s="74"/>
      <c r="E160" s="74"/>
      <c r="F160" s="74"/>
      <c r="G160" s="74"/>
      <c r="H160" s="74"/>
      <c r="I160" s="74"/>
      <c r="J160" s="74"/>
      <c r="O160" s="4"/>
      <c r="P160" s="4"/>
      <c r="Q160" s="4"/>
    </row>
    <row r="161" spans="3:17" x14ac:dyDescent="0.2">
      <c r="C161" s="74"/>
      <c r="D161" s="74"/>
      <c r="E161" s="74"/>
      <c r="F161" s="74"/>
      <c r="G161" s="74"/>
      <c r="H161" s="74"/>
      <c r="I161" s="74"/>
      <c r="J161" s="74"/>
      <c r="O161" s="4"/>
      <c r="P161" s="4"/>
      <c r="Q161" s="4"/>
    </row>
    <row r="162" spans="3:17" x14ac:dyDescent="0.2">
      <c r="C162" s="74"/>
      <c r="D162" s="74"/>
      <c r="E162" s="74"/>
      <c r="F162" s="74"/>
      <c r="G162" s="74"/>
      <c r="H162" s="74"/>
      <c r="I162" s="74"/>
      <c r="J162" s="74"/>
      <c r="O162" s="4"/>
      <c r="P162" s="4"/>
      <c r="Q162" s="4"/>
    </row>
    <row r="163" spans="3:17" x14ac:dyDescent="0.2">
      <c r="C163" s="74"/>
      <c r="D163" s="74"/>
      <c r="E163" s="74"/>
      <c r="F163" s="74"/>
      <c r="G163" s="74"/>
      <c r="H163" s="74"/>
      <c r="I163" s="74"/>
      <c r="J163" s="74"/>
      <c r="O163" s="4"/>
      <c r="P163" s="4"/>
      <c r="Q163" s="4"/>
    </row>
    <row r="164" spans="3:17" x14ac:dyDescent="0.2">
      <c r="C164" s="74"/>
      <c r="D164" s="74"/>
      <c r="E164" s="74"/>
      <c r="F164" s="74"/>
      <c r="G164" s="74"/>
      <c r="H164" s="74"/>
      <c r="I164" s="74"/>
      <c r="J164" s="74"/>
      <c r="O164" s="4"/>
      <c r="P164" s="4"/>
      <c r="Q164" s="4"/>
    </row>
    <row r="165" spans="3:17" x14ac:dyDescent="0.2">
      <c r="C165" s="74"/>
      <c r="D165" s="74"/>
      <c r="E165" s="74"/>
      <c r="F165" s="74"/>
      <c r="G165" s="74"/>
      <c r="H165" s="74"/>
      <c r="I165" s="74"/>
      <c r="J165" s="74"/>
      <c r="O165" s="4"/>
      <c r="P165" s="4"/>
      <c r="Q165" s="4"/>
    </row>
    <row r="166" spans="3:17" x14ac:dyDescent="0.2">
      <c r="C166" s="74"/>
      <c r="D166" s="74"/>
      <c r="E166" s="74"/>
      <c r="F166" s="74"/>
      <c r="G166" s="74"/>
      <c r="H166" s="74"/>
      <c r="I166" s="74"/>
      <c r="J166" s="74"/>
      <c r="O166" s="4"/>
      <c r="P166" s="4"/>
      <c r="Q166" s="4"/>
    </row>
    <row r="167" spans="3:17" x14ac:dyDescent="0.2">
      <c r="C167" s="74"/>
      <c r="D167" s="74"/>
      <c r="E167" s="74"/>
      <c r="F167" s="74"/>
      <c r="G167" s="74"/>
      <c r="H167" s="74"/>
      <c r="I167" s="74"/>
      <c r="J167" s="74"/>
      <c r="O167" s="4"/>
      <c r="P167" s="4"/>
      <c r="Q167" s="4"/>
    </row>
    <row r="168" spans="3:17" x14ac:dyDescent="0.2">
      <c r="C168" s="74"/>
      <c r="D168" s="74"/>
      <c r="E168" s="74"/>
      <c r="F168" s="74"/>
      <c r="G168" s="74"/>
      <c r="H168" s="74"/>
      <c r="I168" s="74"/>
      <c r="J168" s="74"/>
      <c r="O168" s="4"/>
      <c r="P168" s="4"/>
      <c r="Q168" s="4"/>
    </row>
    <row r="169" spans="3:17" x14ac:dyDescent="0.2">
      <c r="C169" s="74"/>
      <c r="D169" s="74"/>
      <c r="E169" s="74"/>
      <c r="F169" s="74"/>
      <c r="G169" s="74"/>
      <c r="H169" s="74"/>
      <c r="I169" s="74"/>
      <c r="J169" s="74"/>
      <c r="O169" s="4"/>
      <c r="P169" s="4"/>
      <c r="Q169" s="4"/>
    </row>
    <row r="170" spans="3:17" x14ac:dyDescent="0.2">
      <c r="C170" s="74"/>
      <c r="D170" s="74"/>
      <c r="E170" s="74"/>
      <c r="F170" s="74"/>
      <c r="G170" s="74"/>
      <c r="H170" s="74"/>
      <c r="I170" s="74"/>
      <c r="J170" s="74"/>
      <c r="O170" s="4"/>
      <c r="P170" s="4"/>
      <c r="Q170" s="4"/>
    </row>
    <row r="171" spans="3:17" x14ac:dyDescent="0.2">
      <c r="C171" s="74"/>
      <c r="D171" s="74"/>
      <c r="E171" s="74"/>
      <c r="F171" s="74"/>
      <c r="G171" s="74"/>
      <c r="H171" s="74"/>
      <c r="I171" s="74"/>
      <c r="J171" s="74"/>
      <c r="O171" s="4"/>
      <c r="P171" s="4"/>
      <c r="Q171" s="4"/>
    </row>
    <row r="172" spans="3:17" x14ac:dyDescent="0.2">
      <c r="C172" s="74"/>
      <c r="D172" s="74"/>
      <c r="E172" s="74"/>
      <c r="F172" s="74"/>
      <c r="G172" s="74"/>
      <c r="H172" s="74"/>
      <c r="I172" s="74"/>
      <c r="J172" s="74"/>
      <c r="O172" s="4"/>
      <c r="P172" s="4"/>
      <c r="Q172" s="4"/>
    </row>
    <row r="173" spans="3:17" x14ac:dyDescent="0.2">
      <c r="C173" s="74"/>
      <c r="D173" s="74"/>
      <c r="E173" s="74"/>
      <c r="F173" s="74"/>
      <c r="G173" s="74"/>
      <c r="H173" s="74"/>
      <c r="I173" s="74"/>
      <c r="J173" s="74"/>
      <c r="O173" s="4"/>
      <c r="P173" s="4"/>
      <c r="Q173" s="4"/>
    </row>
    <row r="174" spans="3:17" x14ac:dyDescent="0.2">
      <c r="C174" s="74"/>
      <c r="D174" s="74"/>
      <c r="E174" s="74"/>
      <c r="F174" s="74"/>
      <c r="G174" s="74"/>
      <c r="H174" s="74"/>
      <c r="I174" s="74"/>
      <c r="J174" s="74"/>
      <c r="O174" s="4"/>
      <c r="P174" s="4"/>
      <c r="Q174" s="4"/>
    </row>
    <row r="175" spans="3:17" x14ac:dyDescent="0.2">
      <c r="C175" s="74"/>
      <c r="D175" s="74"/>
      <c r="E175" s="74"/>
      <c r="F175" s="74"/>
      <c r="G175" s="74"/>
      <c r="H175" s="74"/>
      <c r="I175" s="74"/>
      <c r="J175" s="74"/>
      <c r="O175" s="4"/>
      <c r="P175" s="4"/>
      <c r="Q175" s="4"/>
    </row>
    <row r="176" spans="3:17" x14ac:dyDescent="0.2">
      <c r="C176" s="74"/>
      <c r="D176" s="74"/>
      <c r="E176" s="74"/>
      <c r="F176" s="74"/>
      <c r="G176" s="74"/>
      <c r="H176" s="74"/>
      <c r="I176" s="74"/>
      <c r="J176" s="74"/>
      <c r="O176" s="4"/>
      <c r="P176" s="4"/>
      <c r="Q176" s="4"/>
    </row>
    <row r="177" spans="3:17" x14ac:dyDescent="0.2">
      <c r="C177" s="74"/>
      <c r="D177" s="74"/>
      <c r="E177" s="74"/>
      <c r="F177" s="74"/>
      <c r="G177" s="74"/>
      <c r="H177" s="74"/>
      <c r="I177" s="74"/>
      <c r="J177" s="74"/>
      <c r="O177" s="4"/>
      <c r="P177" s="4"/>
      <c r="Q177" s="4"/>
    </row>
    <row r="178" spans="3:17" x14ac:dyDescent="0.2">
      <c r="C178" s="74"/>
      <c r="D178" s="74"/>
      <c r="E178" s="74"/>
      <c r="F178" s="74"/>
      <c r="G178" s="74"/>
      <c r="H178" s="74"/>
      <c r="I178" s="74"/>
      <c r="J178" s="74"/>
      <c r="O178" s="4"/>
      <c r="P178" s="4"/>
      <c r="Q178" s="4"/>
    </row>
    <row r="179" spans="3:17" x14ac:dyDescent="0.2">
      <c r="C179" s="74"/>
      <c r="D179" s="74"/>
      <c r="E179" s="74"/>
      <c r="F179" s="74"/>
      <c r="G179" s="74"/>
      <c r="H179" s="74"/>
      <c r="I179" s="74"/>
      <c r="J179" s="74"/>
      <c r="O179" s="4"/>
      <c r="P179" s="4"/>
      <c r="Q179" s="4"/>
    </row>
    <row r="180" spans="3:17" x14ac:dyDescent="0.2">
      <c r="C180" s="74"/>
      <c r="D180" s="74"/>
      <c r="E180" s="74"/>
      <c r="F180" s="74"/>
      <c r="G180" s="74"/>
      <c r="H180" s="74"/>
      <c r="I180" s="74"/>
      <c r="J180" s="74"/>
      <c r="O180" s="4"/>
      <c r="P180" s="4"/>
      <c r="Q180" s="4"/>
    </row>
    <row r="181" spans="3:17" x14ac:dyDescent="0.2">
      <c r="C181" s="74"/>
      <c r="D181" s="74"/>
      <c r="E181" s="74"/>
      <c r="F181" s="74"/>
      <c r="G181" s="74"/>
      <c r="H181" s="74"/>
      <c r="I181" s="74"/>
      <c r="J181" s="74"/>
      <c r="O181" s="4"/>
      <c r="P181" s="4"/>
      <c r="Q181" s="4"/>
    </row>
    <row r="182" spans="3:17" x14ac:dyDescent="0.2">
      <c r="O182" s="4"/>
      <c r="P182" s="4"/>
      <c r="Q182" s="4"/>
    </row>
    <row r="183" spans="3:17" x14ac:dyDescent="0.2">
      <c r="O183" s="4"/>
      <c r="P183" s="4"/>
      <c r="Q183" s="4"/>
    </row>
    <row r="184" spans="3:17" x14ac:dyDescent="0.2">
      <c r="O184" s="4"/>
      <c r="P184" s="4"/>
      <c r="Q184" s="4"/>
    </row>
    <row r="185" spans="3:17" x14ac:dyDescent="0.2">
      <c r="O185" s="4"/>
      <c r="P185" s="4"/>
      <c r="Q185" s="4"/>
    </row>
    <row r="186" spans="3:17" x14ac:dyDescent="0.2">
      <c r="O186" s="4"/>
      <c r="P186" s="4"/>
      <c r="Q186" s="4"/>
    </row>
    <row r="187" spans="3:17" x14ac:dyDescent="0.2">
      <c r="O187" s="4"/>
      <c r="P187" s="4"/>
      <c r="Q187" s="4"/>
    </row>
    <row r="188" spans="3:17" x14ac:dyDescent="0.2">
      <c r="O188" s="4"/>
      <c r="P188" s="4"/>
      <c r="Q188" s="4"/>
    </row>
    <row r="189" spans="3:17" x14ac:dyDescent="0.2">
      <c r="O189" s="4"/>
      <c r="P189" s="4"/>
      <c r="Q189" s="4"/>
    </row>
    <row r="190" spans="3:17" x14ac:dyDescent="0.2">
      <c r="O190" s="4"/>
      <c r="P190" s="4"/>
      <c r="Q190" s="4"/>
    </row>
    <row r="191" spans="3:17" x14ac:dyDescent="0.2">
      <c r="O191" s="4"/>
      <c r="P191" s="4"/>
      <c r="Q191" s="4"/>
    </row>
    <row r="192" spans="3:17" x14ac:dyDescent="0.2">
      <c r="O192" s="4"/>
      <c r="P192" s="4"/>
      <c r="Q192" s="4"/>
    </row>
    <row r="193" spans="15:17" x14ac:dyDescent="0.2">
      <c r="O193" s="4"/>
      <c r="P193" s="4"/>
      <c r="Q193" s="4"/>
    </row>
    <row r="194" spans="15:17" x14ac:dyDescent="0.2">
      <c r="O194" s="4"/>
      <c r="P194" s="4"/>
      <c r="Q194" s="4"/>
    </row>
    <row r="195" spans="15:17" x14ac:dyDescent="0.2">
      <c r="O195" s="4"/>
      <c r="P195" s="4"/>
      <c r="Q195" s="4"/>
    </row>
    <row r="196" spans="15:17" x14ac:dyDescent="0.2">
      <c r="O196" s="4"/>
      <c r="P196" s="4"/>
      <c r="Q196" s="4"/>
    </row>
    <row r="197" spans="15:17" x14ac:dyDescent="0.2">
      <c r="O197" s="4"/>
      <c r="P197" s="4"/>
      <c r="Q197" s="4"/>
    </row>
    <row r="198" spans="15:17" x14ac:dyDescent="0.2">
      <c r="O198" s="4"/>
      <c r="P198" s="4"/>
      <c r="Q198" s="4"/>
    </row>
    <row r="199" spans="15:17" x14ac:dyDescent="0.2">
      <c r="O199" s="4"/>
      <c r="P199" s="4"/>
      <c r="Q199" s="4"/>
    </row>
    <row r="200" spans="15:17" x14ac:dyDescent="0.2">
      <c r="O200" s="4"/>
      <c r="P200" s="4"/>
      <c r="Q200" s="4"/>
    </row>
    <row r="201" spans="15:17" x14ac:dyDescent="0.2">
      <c r="O201" s="4"/>
      <c r="P201" s="4"/>
      <c r="Q201" s="4"/>
    </row>
    <row r="202" spans="15:17" x14ac:dyDescent="0.2">
      <c r="O202" s="4"/>
      <c r="P202" s="4"/>
      <c r="Q202" s="4"/>
    </row>
    <row r="203" spans="15:17" x14ac:dyDescent="0.2">
      <c r="O203" s="4"/>
      <c r="P203" s="4"/>
      <c r="Q203" s="4"/>
    </row>
    <row r="204" spans="15:17" x14ac:dyDescent="0.2">
      <c r="O204" s="4"/>
      <c r="P204" s="4"/>
      <c r="Q204" s="4"/>
    </row>
    <row r="205" spans="15:17" x14ac:dyDescent="0.2">
      <c r="O205" s="4"/>
      <c r="P205" s="4"/>
      <c r="Q205" s="4"/>
    </row>
    <row r="206" spans="15:17" x14ac:dyDescent="0.2">
      <c r="O206" s="4"/>
      <c r="P206" s="4"/>
      <c r="Q206" s="4"/>
    </row>
    <row r="207" spans="15:17" x14ac:dyDescent="0.2">
      <c r="O207" s="4"/>
      <c r="P207" s="4"/>
      <c r="Q207" s="4"/>
    </row>
    <row r="208" spans="15:17" x14ac:dyDescent="0.2">
      <c r="O208" s="4"/>
      <c r="P208" s="4"/>
      <c r="Q208" s="4"/>
    </row>
    <row r="209" spans="15:17" x14ac:dyDescent="0.2">
      <c r="O209" s="4"/>
      <c r="P209" s="4"/>
      <c r="Q209" s="4"/>
    </row>
    <row r="210" spans="15:17" x14ac:dyDescent="0.2">
      <c r="O210" s="4"/>
      <c r="P210" s="4"/>
      <c r="Q210" s="4"/>
    </row>
    <row r="211" spans="15:17" x14ac:dyDescent="0.2">
      <c r="O211" s="4"/>
      <c r="P211" s="4"/>
      <c r="Q211" s="4"/>
    </row>
    <row r="212" spans="15:17" x14ac:dyDescent="0.2">
      <c r="O212" s="4"/>
      <c r="P212" s="4"/>
      <c r="Q212" s="4"/>
    </row>
    <row r="213" spans="15:17" x14ac:dyDescent="0.2">
      <c r="O213" s="4"/>
      <c r="P213" s="4"/>
      <c r="Q213" s="4"/>
    </row>
    <row r="214" spans="15:17" x14ac:dyDescent="0.2">
      <c r="O214" s="4"/>
      <c r="P214" s="4"/>
      <c r="Q214" s="4"/>
    </row>
    <row r="215" spans="15:17" x14ac:dyDescent="0.2">
      <c r="O215" s="4"/>
      <c r="P215" s="4"/>
      <c r="Q215" s="4"/>
    </row>
    <row r="216" spans="15:17" x14ac:dyDescent="0.2">
      <c r="O216" s="4"/>
      <c r="P216" s="4"/>
      <c r="Q216" s="4"/>
    </row>
    <row r="217" spans="15:17" x14ac:dyDescent="0.2">
      <c r="O217" s="4"/>
      <c r="P217" s="4"/>
      <c r="Q217" s="4"/>
    </row>
    <row r="218" spans="15:17" x14ac:dyDescent="0.2">
      <c r="O218" s="4"/>
      <c r="P218" s="4"/>
      <c r="Q218" s="4"/>
    </row>
    <row r="219" spans="15:17" x14ac:dyDescent="0.2">
      <c r="O219" s="4"/>
      <c r="P219" s="4"/>
      <c r="Q219" s="4"/>
    </row>
    <row r="220" spans="15:17" x14ac:dyDescent="0.2">
      <c r="O220" s="4"/>
      <c r="P220" s="4"/>
      <c r="Q220" s="4"/>
    </row>
    <row r="221" spans="15:17" x14ac:dyDescent="0.2">
      <c r="O221" s="4"/>
      <c r="P221" s="4"/>
      <c r="Q221" s="4"/>
    </row>
    <row r="222" spans="15:17" x14ac:dyDescent="0.2">
      <c r="O222" s="4"/>
      <c r="P222" s="4"/>
      <c r="Q222" s="4"/>
    </row>
    <row r="223" spans="15:17" x14ac:dyDescent="0.2">
      <c r="O223" s="4"/>
      <c r="P223" s="4"/>
      <c r="Q223" s="4"/>
    </row>
    <row r="224" spans="15:17" x14ac:dyDescent="0.2">
      <c r="O224" s="4"/>
      <c r="P224" s="4"/>
      <c r="Q224" s="4"/>
    </row>
    <row r="225" spans="15:17" x14ac:dyDescent="0.2">
      <c r="O225" s="4"/>
      <c r="P225" s="4"/>
      <c r="Q225" s="4"/>
    </row>
    <row r="226" spans="15:17" x14ac:dyDescent="0.2">
      <c r="O226" s="4"/>
      <c r="P226" s="4"/>
      <c r="Q226" s="4"/>
    </row>
    <row r="227" spans="15:17" x14ac:dyDescent="0.2">
      <c r="O227" s="4"/>
      <c r="P227" s="4"/>
      <c r="Q227" s="4"/>
    </row>
    <row r="228" spans="15:17" x14ac:dyDescent="0.2">
      <c r="O228" s="4"/>
      <c r="P228" s="4"/>
      <c r="Q228" s="4"/>
    </row>
    <row r="229" spans="15:17" x14ac:dyDescent="0.2">
      <c r="O229" s="4"/>
      <c r="P229" s="4"/>
      <c r="Q229" s="4"/>
    </row>
    <row r="230" spans="15:17" x14ac:dyDescent="0.2">
      <c r="O230" s="4"/>
      <c r="P230" s="4"/>
      <c r="Q230" s="4"/>
    </row>
    <row r="231" spans="15:17" x14ac:dyDescent="0.2">
      <c r="O231" s="4"/>
      <c r="P231" s="4"/>
      <c r="Q231" s="4"/>
    </row>
    <row r="232" spans="15:17" x14ac:dyDescent="0.2">
      <c r="O232" s="4"/>
      <c r="P232" s="4"/>
      <c r="Q232" s="4"/>
    </row>
    <row r="233" spans="15:17" x14ac:dyDescent="0.2">
      <c r="O233" s="4"/>
      <c r="P233" s="4"/>
      <c r="Q233" s="4"/>
    </row>
    <row r="234" spans="15:17" x14ac:dyDescent="0.2">
      <c r="O234" s="4"/>
      <c r="P234" s="4"/>
      <c r="Q234" s="4"/>
    </row>
    <row r="235" spans="15:17" x14ac:dyDescent="0.2">
      <c r="O235" s="4"/>
      <c r="P235" s="4"/>
      <c r="Q235" s="4"/>
    </row>
    <row r="236" spans="15:17" x14ac:dyDescent="0.2">
      <c r="O236" s="4"/>
      <c r="P236" s="4"/>
      <c r="Q236" s="4"/>
    </row>
    <row r="237" spans="15:17" x14ac:dyDescent="0.2">
      <c r="O237" s="4"/>
      <c r="P237" s="4"/>
      <c r="Q237" s="4"/>
    </row>
    <row r="238" spans="15:17" x14ac:dyDescent="0.2">
      <c r="O238" s="4"/>
      <c r="P238" s="4"/>
      <c r="Q238" s="4"/>
    </row>
    <row r="239" spans="15:17" x14ac:dyDescent="0.2">
      <c r="O239" s="4"/>
      <c r="P239" s="4"/>
      <c r="Q239" s="4"/>
    </row>
    <row r="240" spans="15:17" x14ac:dyDescent="0.2">
      <c r="O240" s="4"/>
      <c r="P240" s="4"/>
      <c r="Q240" s="4"/>
    </row>
    <row r="241" spans="15:17" x14ac:dyDescent="0.2">
      <c r="O241" s="4"/>
      <c r="P241" s="4"/>
      <c r="Q241" s="4"/>
    </row>
    <row r="242" spans="15:17" x14ac:dyDescent="0.2">
      <c r="O242" s="4"/>
      <c r="P242" s="4"/>
      <c r="Q242" s="4"/>
    </row>
    <row r="243" spans="15:17" x14ac:dyDescent="0.2">
      <c r="O243" s="4"/>
      <c r="P243" s="4"/>
      <c r="Q243" s="4"/>
    </row>
    <row r="244" spans="15:17" x14ac:dyDescent="0.2">
      <c r="O244" s="4"/>
      <c r="P244" s="4"/>
      <c r="Q244" s="4"/>
    </row>
    <row r="245" spans="15:17" x14ac:dyDescent="0.2">
      <c r="O245" s="4"/>
      <c r="P245" s="4"/>
      <c r="Q245" s="4"/>
    </row>
    <row r="246" spans="15:17" x14ac:dyDescent="0.2">
      <c r="O246" s="4"/>
      <c r="P246" s="4"/>
      <c r="Q246" s="4"/>
    </row>
    <row r="247" spans="15:17" x14ac:dyDescent="0.2">
      <c r="O247" s="4"/>
      <c r="P247" s="4"/>
      <c r="Q247" s="4"/>
    </row>
    <row r="248" spans="15:17" x14ac:dyDescent="0.2">
      <c r="O248" s="4"/>
      <c r="P248" s="4"/>
      <c r="Q248" s="4"/>
    </row>
    <row r="249" spans="15:17" x14ac:dyDescent="0.2">
      <c r="O249" s="4"/>
      <c r="P249" s="4"/>
      <c r="Q249" s="4"/>
    </row>
    <row r="250" spans="15:17" x14ac:dyDescent="0.2">
      <c r="O250" s="4"/>
      <c r="P250" s="4"/>
      <c r="Q250" s="4"/>
    </row>
    <row r="251" spans="15:17" x14ac:dyDescent="0.2">
      <c r="O251" s="4"/>
      <c r="P251" s="4"/>
      <c r="Q251" s="4"/>
    </row>
    <row r="252" spans="15:17" x14ac:dyDescent="0.2">
      <c r="O252" s="4"/>
      <c r="P252" s="4"/>
      <c r="Q252" s="4"/>
    </row>
    <row r="253" spans="15:17" x14ac:dyDescent="0.2">
      <c r="O253" s="4"/>
      <c r="P253" s="4"/>
      <c r="Q253" s="4"/>
    </row>
    <row r="254" spans="15:17" x14ac:dyDescent="0.2">
      <c r="O254" s="4"/>
      <c r="P254" s="4"/>
      <c r="Q254" s="4"/>
    </row>
    <row r="255" spans="15:17" x14ac:dyDescent="0.2">
      <c r="O255" s="4"/>
      <c r="P255" s="4"/>
      <c r="Q255" s="4"/>
    </row>
    <row r="256" spans="15:17" x14ac:dyDescent="0.2">
      <c r="O256" s="4"/>
      <c r="P256" s="4"/>
      <c r="Q256" s="4"/>
    </row>
    <row r="257" spans="15:17" x14ac:dyDescent="0.2">
      <c r="O257" s="4"/>
      <c r="P257" s="4"/>
      <c r="Q257" s="4"/>
    </row>
    <row r="258" spans="15:17" x14ac:dyDescent="0.2">
      <c r="O258" s="4"/>
      <c r="P258" s="4"/>
      <c r="Q258" s="4"/>
    </row>
    <row r="259" spans="15:17" x14ac:dyDescent="0.2">
      <c r="O259" s="4"/>
      <c r="P259" s="4"/>
      <c r="Q259" s="4"/>
    </row>
    <row r="260" spans="15:17" x14ac:dyDescent="0.2">
      <c r="O260" s="4"/>
      <c r="P260" s="4"/>
      <c r="Q260" s="4"/>
    </row>
    <row r="261" spans="15:17" x14ac:dyDescent="0.2">
      <c r="O261" s="4"/>
      <c r="P261" s="4"/>
      <c r="Q261" s="4"/>
    </row>
    <row r="262" spans="15:17" x14ac:dyDescent="0.2">
      <c r="O262" s="4"/>
      <c r="P262" s="4"/>
      <c r="Q262" s="4"/>
    </row>
    <row r="263" spans="15:17" x14ac:dyDescent="0.2">
      <c r="O263" s="4"/>
      <c r="P263" s="4"/>
      <c r="Q263" s="4"/>
    </row>
    <row r="264" spans="15:17" x14ac:dyDescent="0.2">
      <c r="O264" s="4"/>
      <c r="P264" s="4"/>
      <c r="Q264" s="4"/>
    </row>
    <row r="265" spans="15:17" x14ac:dyDescent="0.2">
      <c r="O265" s="4"/>
      <c r="P265" s="4"/>
      <c r="Q265" s="4"/>
    </row>
    <row r="266" spans="15:17" x14ac:dyDescent="0.2">
      <c r="O266" s="4"/>
      <c r="P266" s="4"/>
      <c r="Q266" s="4"/>
    </row>
    <row r="267" spans="15:17" x14ac:dyDescent="0.2">
      <c r="O267" s="4"/>
      <c r="P267" s="4"/>
      <c r="Q267" s="4"/>
    </row>
    <row r="268" spans="15:17" x14ac:dyDescent="0.2">
      <c r="O268" s="4"/>
      <c r="P268" s="4"/>
      <c r="Q268" s="4"/>
    </row>
    <row r="269" spans="15:17" x14ac:dyDescent="0.2">
      <c r="O269" s="4"/>
      <c r="P269" s="4"/>
      <c r="Q269" s="4"/>
    </row>
    <row r="270" spans="15:17" x14ac:dyDescent="0.2">
      <c r="O270" s="4"/>
      <c r="P270" s="4"/>
      <c r="Q270" s="4"/>
    </row>
    <row r="271" spans="15:17" x14ac:dyDescent="0.2">
      <c r="O271" s="4"/>
      <c r="P271" s="4"/>
      <c r="Q271" s="4"/>
    </row>
    <row r="272" spans="15:17" x14ac:dyDescent="0.2">
      <c r="O272" s="4"/>
      <c r="P272" s="4"/>
      <c r="Q272" s="4"/>
    </row>
    <row r="273" spans="15:17" x14ac:dyDescent="0.2">
      <c r="O273" s="4"/>
      <c r="P273" s="4"/>
      <c r="Q273" s="4"/>
    </row>
    <row r="274" spans="15:17" x14ac:dyDescent="0.2">
      <c r="O274" s="4"/>
      <c r="P274" s="4"/>
      <c r="Q274" s="4"/>
    </row>
    <row r="275" spans="15:17" x14ac:dyDescent="0.2">
      <c r="O275" s="4"/>
      <c r="P275" s="4"/>
      <c r="Q275" s="4"/>
    </row>
    <row r="276" spans="15:17" x14ac:dyDescent="0.2">
      <c r="O276" s="4"/>
      <c r="P276" s="4"/>
      <c r="Q276" s="4"/>
    </row>
    <row r="277" spans="15:17" x14ac:dyDescent="0.2">
      <c r="O277" s="4"/>
      <c r="P277" s="4"/>
      <c r="Q277" s="4"/>
    </row>
    <row r="278" spans="15:17" x14ac:dyDescent="0.2">
      <c r="O278" s="4"/>
      <c r="P278" s="4"/>
      <c r="Q278" s="4"/>
    </row>
    <row r="279" spans="15:17" x14ac:dyDescent="0.2">
      <c r="O279" s="4"/>
      <c r="P279" s="4"/>
      <c r="Q279" s="4"/>
    </row>
    <row r="280" spans="15:17" x14ac:dyDescent="0.2">
      <c r="O280" s="4"/>
      <c r="P280" s="4"/>
      <c r="Q280" s="4"/>
    </row>
    <row r="281" spans="15:17" x14ac:dyDescent="0.2">
      <c r="O281" s="4"/>
      <c r="P281" s="4"/>
      <c r="Q281" s="4"/>
    </row>
    <row r="282" spans="15:17" x14ac:dyDescent="0.2">
      <c r="O282" s="4"/>
      <c r="P282" s="4"/>
      <c r="Q282" s="4"/>
    </row>
    <row r="283" spans="15:17" x14ac:dyDescent="0.2">
      <c r="O283" s="4"/>
      <c r="P283" s="4"/>
      <c r="Q283" s="4"/>
    </row>
    <row r="284" spans="15:17" x14ac:dyDescent="0.2">
      <c r="O284" s="4"/>
      <c r="P284" s="4"/>
      <c r="Q284" s="4"/>
    </row>
    <row r="285" spans="15:17" x14ac:dyDescent="0.2">
      <c r="O285" s="4"/>
      <c r="P285" s="4"/>
      <c r="Q285" s="4"/>
    </row>
    <row r="286" spans="15:17" x14ac:dyDescent="0.2">
      <c r="O286" s="4"/>
      <c r="P286" s="4"/>
      <c r="Q286" s="4"/>
    </row>
    <row r="287" spans="15:17" x14ac:dyDescent="0.2">
      <c r="O287" s="4"/>
      <c r="P287" s="4"/>
      <c r="Q287" s="4"/>
    </row>
    <row r="288" spans="15:17" x14ac:dyDescent="0.2">
      <c r="O288" s="4"/>
      <c r="P288" s="4"/>
      <c r="Q288" s="4"/>
    </row>
    <row r="289" spans="15:17" x14ac:dyDescent="0.2">
      <c r="O289" s="4"/>
      <c r="P289" s="4"/>
      <c r="Q289" s="4"/>
    </row>
    <row r="290" spans="15:17" x14ac:dyDescent="0.2">
      <c r="O290" s="4"/>
      <c r="P290" s="4"/>
      <c r="Q290" s="4"/>
    </row>
    <row r="291" spans="15:17" x14ac:dyDescent="0.2">
      <c r="O291" s="4"/>
      <c r="P291" s="4"/>
      <c r="Q291" s="4"/>
    </row>
    <row r="292" spans="15:17" x14ac:dyDescent="0.2">
      <c r="O292" s="4"/>
      <c r="P292" s="4"/>
      <c r="Q292" s="4"/>
    </row>
    <row r="293" spans="15:17" x14ac:dyDescent="0.2">
      <c r="O293" s="4"/>
      <c r="P293" s="4"/>
      <c r="Q293" s="4"/>
    </row>
    <row r="294" spans="15:17" x14ac:dyDescent="0.2">
      <c r="O294" s="4"/>
      <c r="P294" s="4"/>
      <c r="Q294" s="4"/>
    </row>
    <row r="295" spans="15:17" x14ac:dyDescent="0.2">
      <c r="O295" s="4"/>
      <c r="P295" s="4"/>
      <c r="Q295" s="4"/>
    </row>
    <row r="296" spans="15:17" x14ac:dyDescent="0.2">
      <c r="O296" s="4"/>
      <c r="P296" s="4"/>
      <c r="Q296" s="4"/>
    </row>
    <row r="297" spans="15:17" x14ac:dyDescent="0.2">
      <c r="O297" s="4"/>
      <c r="P297" s="4"/>
      <c r="Q297" s="4"/>
    </row>
  </sheetData>
  <sheetProtection password="8677" sheet="1" objects="1" scenarios="1"/>
  <mergeCells count="9">
    <mergeCell ref="F52:G53"/>
    <mergeCell ref="F55:G55"/>
    <mergeCell ref="F45:G46"/>
    <mergeCell ref="E12:F12"/>
    <mergeCell ref="H11:J12"/>
    <mergeCell ref="I14:J14"/>
    <mergeCell ref="I13:J13"/>
    <mergeCell ref="F33:I33"/>
    <mergeCell ref="C50:E50"/>
  </mergeCells>
  <hyperlinks>
    <hyperlink ref="K41" location="OR_Kommentare!A10" display="OR_Kommentare!A10"/>
    <hyperlink ref="K61" location="OR_Kommentare!A10" display="OR_Kommentare!A10"/>
  </hyperlinks>
  <pageMargins left="0.62992125984251968" right="0.23622047244094491" top="0.74803149606299213" bottom="0.74803149606299213" header="0.31496062992125984" footer="0.31496062992125984"/>
  <pageSetup paperSize="9" scale="94" fitToHeight="0" orientation="portrait" r:id="rId1"/>
  <headerFooter>
    <oddFooter>&amp;R&amp;P von &amp;N</oddFooter>
  </headerFooter>
  <rowBreaks count="1" manualBreakCount="1">
    <brk id="43" max="16383" man="1"/>
  </rowBreaks>
  <colBreaks count="1" manualBreakCount="1">
    <brk id="10"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5" id="{E4B4E5E3-4A0A-462A-82A6-F54BE960956B}">
            <xm:f>NOT(Kulturen!$H$480="Erdbeeren")</xm:f>
            <x14:dxf>
              <font>
                <color theme="0"/>
              </font>
              <fill>
                <patternFill patternType="lightUp"/>
              </fill>
            </x14:dxf>
          </x14:cfRule>
          <xm:sqref>C32:J32 C55:J56 C33:F33 J33</xm:sqref>
        </x14:conditionalFormatting>
        <x14:conditionalFormatting xmlns:xm="http://schemas.microsoft.com/office/excel/2006/main">
          <x14:cfRule type="expression" priority="4" id="{CF261168-6388-44F1-9285-6CB4313BE83E}">
            <xm:f>Kulturen!$H$480="Reben"</xm:f>
            <x14:dxf>
              <fill>
                <patternFill patternType="lightUp"/>
              </fill>
            </x14:dxf>
          </x14:cfRule>
          <xm:sqref>C52:J54</xm:sqref>
        </x14:conditionalFormatting>
        <x14:conditionalFormatting xmlns:xm="http://schemas.microsoft.com/office/excel/2006/main">
          <x14:cfRule type="expression" priority="2" id="{5A3C19FC-80AB-4762-9938-D6BB6AD098E7}">
            <xm:f>Kommentarliste!R28&gt;0</xm:f>
            <x14:dxf>
              <fill>
                <patternFill>
                  <bgColor theme="0"/>
                </patternFill>
              </fill>
            </x14:dxf>
          </x14:cfRule>
          <xm:sqref>K41</xm:sqref>
        </x14:conditionalFormatting>
        <x14:conditionalFormatting xmlns:xm="http://schemas.microsoft.com/office/excel/2006/main">
          <x14:cfRule type="expression" priority="1" id="{AD462B55-1A0F-45C3-BD9A-B43EC947548C}">
            <xm:f>Kommentarliste!R150&gt;0</xm:f>
            <x14:dxf>
              <fill>
                <patternFill>
                  <bgColor theme="0"/>
                </patternFill>
              </fill>
            </x14:dxf>
          </x14:cfRule>
          <xm:sqref>K61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tint="0.79998168889431442"/>
  </sheetPr>
  <dimension ref="A1:Q51"/>
  <sheetViews>
    <sheetView showGridLines="0" topLeftCell="B1" zoomScaleNormal="100" workbookViewId="0">
      <pane ySplit="15" topLeftCell="A18" activePane="bottomLeft" state="frozen"/>
      <selection activeCell="A10" sqref="A10"/>
      <selection pane="bottomLeft" activeCell="D11" sqref="D11"/>
    </sheetView>
  </sheetViews>
  <sheetFormatPr baseColWidth="10" defaultRowHeight="14.25" x14ac:dyDescent="0.2"/>
  <cols>
    <col min="1" max="1" width="1.5" style="189" hidden="1" customWidth="1"/>
    <col min="2" max="2" width="0.5" style="189" customWidth="1"/>
    <col min="3" max="3" width="2.75" customWidth="1"/>
    <col min="12" max="12" width="39.75" style="1744" hidden="1" customWidth="1"/>
  </cols>
  <sheetData>
    <row r="1" spans="4:17" ht="2.85" customHeight="1" x14ac:dyDescent="0.2"/>
    <row r="2" spans="4:17" ht="30.6" customHeight="1" x14ac:dyDescent="0.25">
      <c r="D2" s="396"/>
      <c r="E2" s="397"/>
      <c r="F2" s="397"/>
      <c r="G2" s="397"/>
      <c r="H2" s="397"/>
      <c r="I2" s="397"/>
      <c r="J2" s="397"/>
      <c r="K2" s="398"/>
      <c r="L2" s="1745"/>
    </row>
    <row r="3" spans="4:17" ht="18.399999999999999" x14ac:dyDescent="0.3">
      <c r="D3" s="155" t="str">
        <f>Startmenue!C2</f>
        <v>Düngung BW</v>
      </c>
      <c r="E3" s="156"/>
      <c r="F3" s="156"/>
      <c r="G3" s="156"/>
      <c r="H3" s="156"/>
      <c r="I3" s="156"/>
      <c r="J3" s="156"/>
      <c r="K3" s="157" t="s">
        <v>1</v>
      </c>
      <c r="L3" s="1746"/>
      <c r="O3" s="4"/>
      <c r="P3" s="4"/>
      <c r="Q3" s="4"/>
    </row>
    <row r="4" spans="4:17" ht="13.7" x14ac:dyDescent="0.2">
      <c r="D4" s="6" t="str">
        <f>OR_Eingabe!C4&amp;" "&amp;OR_Eingabe!J22</f>
        <v xml:space="preserve">Düngebedarfsberechnung Obst u. Reben </v>
      </c>
      <c r="E4" s="4"/>
      <c r="F4" s="4"/>
      <c r="G4" s="4"/>
      <c r="H4" s="4" t="s">
        <v>4390</v>
      </c>
      <c r="I4" s="4"/>
      <c r="J4" s="4"/>
      <c r="K4" s="161">
        <f>OR_Eingabe!J4</f>
        <v>0</v>
      </c>
      <c r="L4" s="1746"/>
      <c r="O4" s="4"/>
      <c r="P4" s="4"/>
      <c r="Q4" s="4"/>
    </row>
    <row r="5" spans="4:17" x14ac:dyDescent="0.25">
      <c r="D5" s="104" t="str">
        <f>Startmenue!C4</f>
        <v>(EXCEL-Anwendung, Stand: 06/03/2018)</v>
      </c>
      <c r="E5" s="3"/>
      <c r="F5" s="3"/>
      <c r="G5" s="3"/>
      <c r="H5" s="3"/>
      <c r="I5" s="3"/>
      <c r="J5" s="3"/>
      <c r="K5" s="648" t="str">
        <f>Startmenue!G2</f>
        <v>Version 1.2</v>
      </c>
      <c r="L5" s="1746"/>
      <c r="O5" s="4"/>
      <c r="P5" s="4"/>
      <c r="Q5" s="4"/>
    </row>
    <row r="6" spans="4:17" ht="0.75" customHeight="1" x14ac:dyDescent="0.2">
      <c r="D6" s="5"/>
      <c r="E6" s="4"/>
      <c r="F6" s="4"/>
      <c r="G6" s="4"/>
      <c r="H6" s="4"/>
      <c r="I6" s="4"/>
      <c r="J6" s="4"/>
      <c r="K6" s="10"/>
      <c r="L6" s="1746"/>
      <c r="O6" s="4"/>
      <c r="P6" s="4"/>
      <c r="Q6" s="4"/>
    </row>
    <row r="7" spans="4:17" ht="0.75" customHeight="1" x14ac:dyDescent="0.2">
      <c r="D7" s="5"/>
      <c r="E7" s="4"/>
      <c r="F7" s="4"/>
      <c r="G7" s="4"/>
      <c r="H7" s="4"/>
      <c r="I7" s="4"/>
      <c r="J7" s="4"/>
      <c r="K7" s="10"/>
      <c r="L7" s="1746"/>
      <c r="O7" s="4"/>
      <c r="P7" s="4"/>
      <c r="Q7" s="4"/>
    </row>
    <row r="8" spans="4:17" ht="0.75" customHeight="1" x14ac:dyDescent="0.2">
      <c r="D8" s="5"/>
      <c r="E8" s="4"/>
      <c r="F8" s="4"/>
      <c r="G8" s="4"/>
      <c r="H8" s="4"/>
      <c r="I8" s="4"/>
      <c r="J8" s="4"/>
      <c r="K8" s="10"/>
      <c r="L8" s="1746"/>
      <c r="O8" s="4"/>
      <c r="P8" s="4"/>
      <c r="Q8" s="4"/>
    </row>
    <row r="9" spans="4:17" ht="0.75" customHeight="1" x14ac:dyDescent="0.2">
      <c r="D9" s="5"/>
      <c r="G9" s="4"/>
      <c r="H9" s="4"/>
      <c r="I9" s="4"/>
      <c r="J9" s="4"/>
      <c r="K9" s="10"/>
      <c r="L9" s="1746"/>
      <c r="O9" s="4"/>
      <c r="P9" s="4"/>
      <c r="Q9" s="4"/>
    </row>
    <row r="10" spans="4:17" ht="8.1" customHeight="1" x14ac:dyDescent="0.2">
      <c r="D10" s="5"/>
      <c r="E10" s="4"/>
      <c r="F10" s="4"/>
      <c r="G10" s="4"/>
      <c r="H10" s="4"/>
      <c r="I10" s="4"/>
      <c r="J10" s="4"/>
      <c r="K10" s="10"/>
      <c r="L10" s="1746"/>
      <c r="O10" s="4"/>
      <c r="P10" s="4"/>
      <c r="Q10" s="4"/>
    </row>
    <row r="11" spans="4:17" ht="13.7" customHeight="1" x14ac:dyDescent="0.2">
      <c r="D11" s="170" t="s">
        <v>3</v>
      </c>
      <c r="E11" s="337"/>
      <c r="F11" s="435">
        <f>OR_Eingabe!E12</f>
        <v>0</v>
      </c>
      <c r="G11" s="436"/>
      <c r="H11" s="434" t="s">
        <v>4</v>
      </c>
      <c r="I11" s="1929">
        <f>OR_Eingabe!H12</f>
        <v>0</v>
      </c>
      <c r="J11" s="1930"/>
      <c r="K11" s="1931"/>
      <c r="L11" s="1746"/>
      <c r="O11" s="4"/>
      <c r="P11" s="4"/>
      <c r="Q11" s="4"/>
    </row>
    <row r="12" spans="4:17" x14ac:dyDescent="0.2">
      <c r="D12" s="12" t="s">
        <v>5</v>
      </c>
      <c r="E12" s="13"/>
      <c r="F12" s="627">
        <f>OR_Eingabe!E13</f>
        <v>0</v>
      </c>
      <c r="G12" s="628"/>
      <c r="H12" s="8"/>
      <c r="I12" s="1897"/>
      <c r="J12" s="1898"/>
      <c r="K12" s="1899"/>
      <c r="L12" s="1746"/>
      <c r="O12" s="4"/>
      <c r="P12" s="4"/>
      <c r="Q12" s="4"/>
    </row>
    <row r="13" spans="4:17" ht="13.7" x14ac:dyDescent="0.2">
      <c r="D13" s="12" t="s">
        <v>7</v>
      </c>
      <c r="E13" s="13"/>
      <c r="F13" s="627">
        <f>OR_Eingabe!E14</f>
        <v>0</v>
      </c>
      <c r="G13" s="28"/>
      <c r="H13" s="17" t="s">
        <v>6</v>
      </c>
      <c r="I13" s="160"/>
      <c r="J13" s="627">
        <f>OR_Eingabe!I14</f>
        <v>0</v>
      </c>
      <c r="K13" s="628"/>
      <c r="L13" s="1746"/>
      <c r="O13" s="4"/>
      <c r="P13" s="4"/>
      <c r="Q13" s="4"/>
    </row>
    <row r="14" spans="4:17" x14ac:dyDescent="0.2">
      <c r="D14" s="12" t="s">
        <v>9</v>
      </c>
      <c r="E14" s="13"/>
      <c r="F14" s="627">
        <f>OR_Eingabe!E16</f>
        <v>0</v>
      </c>
      <c r="G14" s="28"/>
      <c r="H14" t="s">
        <v>4301</v>
      </c>
      <c r="I14" s="28"/>
      <c r="J14" s="629">
        <f>OR_Eingabe!I16</f>
        <v>0</v>
      </c>
      <c r="K14" s="630"/>
      <c r="L14" s="1746"/>
      <c r="O14" s="4"/>
      <c r="P14" s="4"/>
      <c r="Q14" s="4"/>
    </row>
    <row r="15" spans="4:17" x14ac:dyDescent="0.2">
      <c r="D15" s="12" t="s">
        <v>11</v>
      </c>
      <c r="E15" s="13"/>
      <c r="F15" s="1012">
        <f>OR_Eingabe!E17</f>
        <v>0</v>
      </c>
      <c r="G15" s="28"/>
      <c r="H15" s="12" t="s">
        <v>4304</v>
      </c>
      <c r="I15" s="28"/>
      <c r="J15" s="300" t="str">
        <f ca="1">OR_Eingabe!I17</f>
        <v>Gemeinde und Gemarkung auswählen!</v>
      </c>
      <c r="K15" s="148"/>
      <c r="L15" s="1746"/>
      <c r="O15" s="4"/>
      <c r="P15" s="4"/>
      <c r="Q15" s="4"/>
    </row>
    <row r="16" spans="4:17" ht="4.1500000000000004" customHeight="1" x14ac:dyDescent="0.2">
      <c r="D16" s="5"/>
      <c r="E16" s="4"/>
      <c r="F16" s="4"/>
      <c r="G16" s="4"/>
      <c r="H16" s="4"/>
      <c r="I16" s="4"/>
      <c r="J16" s="4"/>
      <c r="K16" s="10"/>
      <c r="L16" s="1746"/>
    </row>
    <row r="17" spans="2:12" ht="6.4" customHeight="1" x14ac:dyDescent="0.25">
      <c r="D17" s="957"/>
      <c r="E17" s="15"/>
      <c r="F17" s="958"/>
      <c r="G17" s="959"/>
      <c r="H17" s="15"/>
      <c r="I17" s="15"/>
      <c r="J17" s="15"/>
      <c r="K17" s="16"/>
      <c r="L17" s="1746"/>
    </row>
    <row r="18" spans="2:12" ht="55.15" customHeight="1" x14ac:dyDescent="0.2">
      <c r="B18" s="199" t="str">
        <f t="shared" ref="B18:B31" si="0">IF(D18="","G","")</f>
        <v/>
      </c>
      <c r="C18" s="225">
        <v>1</v>
      </c>
      <c r="D18" s="1926" t="str">
        <f>IF(ISERROR(VLOOKUP(C18,Kommentarliste!$E$109:$N$149,Kommentarliste!$J$4,FALSE)),"",VLOOKUP(C18,Kommentarliste!$E$109:$N$149,Kommentarliste!$J$4,FALSE))</f>
        <v>Kommentare: Obst, Reben - N -</v>
      </c>
      <c r="E18" s="1927"/>
      <c r="F18" s="1927"/>
      <c r="G18" s="1927"/>
      <c r="H18" s="1927"/>
      <c r="I18" s="1927"/>
      <c r="J18" s="1927"/>
      <c r="K18" s="1928"/>
      <c r="L18" s="1746"/>
    </row>
    <row r="19" spans="2:12" ht="55.15" customHeight="1" x14ac:dyDescent="0.2">
      <c r="B19" s="199" t="str">
        <f t="shared" si="0"/>
        <v/>
      </c>
      <c r="C19" s="225">
        <v>2</v>
      </c>
      <c r="D19" s="1926" t="str">
        <f>IF(ISERROR(VLOOKUP(C19,Kommentarliste!$E$109:$N$149,Kommentarliste!$J$4,FALSE)),"",VLOOKUP(C19,Kommentarliste!$E$109:$N$149,Kommentarliste!$J$4,FALSE))</f>
        <v>Hauptfrucht nicht/ungenau angegeben, daher keine Düngeempfehlung.</v>
      </c>
      <c r="E19" s="1927"/>
      <c r="F19" s="1927"/>
      <c r="G19" s="1927"/>
      <c r="H19" s="1927"/>
      <c r="I19" s="1927"/>
      <c r="J19" s="1927"/>
      <c r="K19" s="1928"/>
      <c r="L19" s="1746"/>
    </row>
    <row r="20" spans="2:12" ht="55.15" customHeight="1" x14ac:dyDescent="0.2">
      <c r="B20" s="199" t="str">
        <f t="shared" si="0"/>
        <v/>
      </c>
      <c r="C20" s="225">
        <v>3</v>
      </c>
      <c r="D20" s="1926" t="str">
        <f>IF(ISERROR(VLOOKUP(C20,Kommentarliste!$E$109:$N$149,Kommentarliste!$J$4,FALSE)),"",VLOOKUP(C20,Kommentarliste!$E$109:$N$149,Kommentarliste!$J$4,FALSE))</f>
        <v>Kommentare: Obst, Reben - P2O5, K2O, MgO -</v>
      </c>
      <c r="E20" s="1927"/>
      <c r="F20" s="1927"/>
      <c r="G20" s="1927"/>
      <c r="H20" s="1927"/>
      <c r="I20" s="1927"/>
      <c r="J20" s="1927"/>
      <c r="K20" s="1928"/>
      <c r="L20" s="1746"/>
    </row>
    <row r="21" spans="2:12" ht="55.15" customHeight="1" x14ac:dyDescent="0.2">
      <c r="B21" s="199" t="str">
        <f t="shared" si="0"/>
        <v/>
      </c>
      <c r="C21" s="225">
        <v>4</v>
      </c>
      <c r="D21" s="1926" t="str">
        <f>IF(ISERROR(VLOOKUP(C21,Kommentarliste!$E$109:$N$149,Kommentarliste!$J$4,FALSE)),"",VLOOKUP(C21,Kommentarliste!$E$109:$N$149,Kommentarliste!$J$4,FALSE))</f>
        <v>Hauptfrucht nicht/ungenau angegeben, daher keine Düngeempfehlung.</v>
      </c>
      <c r="E21" s="1927"/>
      <c r="F21" s="1927"/>
      <c r="G21" s="1927"/>
      <c r="H21" s="1927"/>
      <c r="I21" s="1927"/>
      <c r="J21" s="1927"/>
      <c r="K21" s="1928"/>
      <c r="L21" s="1746"/>
    </row>
    <row r="22" spans="2:12" ht="55.15" customHeight="1" x14ac:dyDescent="0.2">
      <c r="B22" s="199" t="str">
        <f t="shared" si="0"/>
        <v/>
      </c>
      <c r="C22" s="225">
        <v>5</v>
      </c>
      <c r="D22" s="1926" t="str">
        <f>IF(ISERROR(VLOOKUP(C22,Kommentarliste!$E$109:$N$149,Kommentarliste!$J$4,FALSE)),"",VLOOKUP(C22,Kommentarliste!$E$109:$N$149,Kommentarliste!$J$4,FALSE))</f>
        <v>.</v>
      </c>
      <c r="E22" s="1927"/>
      <c r="F22" s="1927"/>
      <c r="G22" s="1927"/>
      <c r="H22" s="1927"/>
      <c r="I22" s="1927"/>
      <c r="J22" s="1927"/>
      <c r="K22" s="1928"/>
      <c r="L22" s="1746"/>
    </row>
    <row r="23" spans="2:12" ht="55.15" customHeight="1" x14ac:dyDescent="0.2">
      <c r="B23" s="199" t="str">
        <f t="shared" si="0"/>
        <v/>
      </c>
      <c r="C23" s="225">
        <v>6</v>
      </c>
      <c r="D23" s="1926" t="str">
        <f>IF(ISERROR(VLOOKUP(C23,Kommentarliste!$E$109:$N$149,Kommentarliste!$J$4,FALSE)),"",VLOOKUP(C23,Kommentarliste!$E$109:$N$149,Kommentarliste!$J$4,FALSE))</f>
        <v>Kommentare: Obst, Reben - Kalk -</v>
      </c>
      <c r="E23" s="1927"/>
      <c r="F23" s="1927"/>
      <c r="G23" s="1927"/>
      <c r="H23" s="1927"/>
      <c r="I23" s="1927"/>
      <c r="J23" s="1927"/>
      <c r="K23" s="1928"/>
      <c r="L23" s="1746"/>
    </row>
    <row r="24" spans="2:12" ht="55.15" customHeight="1" x14ac:dyDescent="0.2">
      <c r="B24" s="199" t="str">
        <f t="shared" si="0"/>
        <v/>
      </c>
      <c r="C24" s="225">
        <v>7</v>
      </c>
      <c r="D24" s="1926" t="str">
        <f>IF(ISERROR(VLOOKUP(C24,Kommentarliste!$E$109:$N$149,Kommentarliste!$J$4,FALSE)),"",VLOOKUP(C24,Kommentarliste!$E$109:$N$149,Kommentarliste!$J$4,FALSE))</f>
        <v>Aufgrund unvollständiger Angaben war keine Düngebedarfsberechnung für Kalk möglich.</v>
      </c>
      <c r="E24" s="1927"/>
      <c r="F24" s="1927"/>
      <c r="G24" s="1927"/>
      <c r="H24" s="1927"/>
      <c r="I24" s="1927"/>
      <c r="J24" s="1927"/>
      <c r="K24" s="1928"/>
      <c r="L24" s="1746"/>
    </row>
    <row r="25" spans="2:12" ht="55.15" customHeight="1" x14ac:dyDescent="0.2">
      <c r="B25" s="199" t="str">
        <f t="shared" si="0"/>
        <v>G</v>
      </c>
      <c r="C25" s="225">
        <v>8</v>
      </c>
      <c r="D25" s="1926" t="str">
        <f>IF(ISERROR(VLOOKUP(C25,Kommentarliste!$E$109:$N$149,Kommentarliste!$J$4,FALSE)),"",VLOOKUP(C25,Kommentarliste!$E$109:$N$149,Kommentarliste!$J$4,FALSE))</f>
        <v/>
      </c>
      <c r="E25" s="1927"/>
      <c r="F25" s="1927"/>
      <c r="G25" s="1927"/>
      <c r="H25" s="1927"/>
      <c r="I25" s="1927"/>
      <c r="J25" s="1927"/>
      <c r="K25" s="1928"/>
      <c r="L25" s="1746"/>
    </row>
    <row r="26" spans="2:12" ht="55.15" customHeight="1" x14ac:dyDescent="0.2">
      <c r="B26" s="199" t="str">
        <f t="shared" si="0"/>
        <v>G</v>
      </c>
      <c r="C26" s="225">
        <v>9</v>
      </c>
      <c r="D26" s="1926" t="str">
        <f>IF(ISERROR(VLOOKUP(C26,Kommentarliste!$E$109:$N$149,Kommentarliste!$J$4,FALSE)),"",VLOOKUP(C26,Kommentarliste!$E$109:$N$149,Kommentarliste!$J$4,FALSE))</f>
        <v/>
      </c>
      <c r="E26" s="1927"/>
      <c r="F26" s="1927"/>
      <c r="G26" s="1927"/>
      <c r="H26" s="1927"/>
      <c r="I26" s="1927"/>
      <c r="J26" s="1927"/>
      <c r="K26" s="1928"/>
      <c r="L26" s="1746"/>
    </row>
    <row r="27" spans="2:12" ht="55.15" customHeight="1" x14ac:dyDescent="0.2">
      <c r="B27" s="199" t="str">
        <f t="shared" si="0"/>
        <v>G</v>
      </c>
      <c r="C27" s="225">
        <v>10</v>
      </c>
      <c r="D27" s="1926" t="str">
        <f>IF(ISERROR(VLOOKUP(C27,Kommentarliste!$E$109:$N$149,Kommentarliste!$J$4,FALSE)),"",VLOOKUP(C27,Kommentarliste!$E$109:$N$149,Kommentarliste!$J$4,FALSE))</f>
        <v/>
      </c>
      <c r="E27" s="1927"/>
      <c r="F27" s="1927"/>
      <c r="G27" s="1927"/>
      <c r="H27" s="1927"/>
      <c r="I27" s="1927"/>
      <c r="J27" s="1927"/>
      <c r="K27" s="1928"/>
      <c r="L27" s="1746"/>
    </row>
    <row r="28" spans="2:12" ht="55.15" customHeight="1" x14ac:dyDescent="0.2">
      <c r="B28" s="199" t="str">
        <f t="shared" si="0"/>
        <v>G</v>
      </c>
      <c r="C28" s="225">
        <v>11</v>
      </c>
      <c r="D28" s="1926" t="str">
        <f>IF(ISERROR(VLOOKUP(C28,Kommentarliste!$E$109:$N$149,Kommentarliste!$J$4,FALSE)),"",VLOOKUP(C28,Kommentarliste!$E$109:$N$149,Kommentarliste!$J$4,FALSE))</f>
        <v/>
      </c>
      <c r="E28" s="1927"/>
      <c r="F28" s="1927"/>
      <c r="G28" s="1927"/>
      <c r="H28" s="1927"/>
      <c r="I28" s="1927"/>
      <c r="J28" s="1927"/>
      <c r="K28" s="1928"/>
      <c r="L28" s="1746"/>
    </row>
    <row r="29" spans="2:12" ht="55.15" customHeight="1" x14ac:dyDescent="0.2">
      <c r="B29" s="199" t="str">
        <f t="shared" si="0"/>
        <v>G</v>
      </c>
      <c r="C29" s="225">
        <v>12</v>
      </c>
      <c r="D29" s="1926" t="str">
        <f>IF(ISERROR(VLOOKUP(C29,Kommentarliste!$E$109:$N$149,Kommentarliste!$J$4,FALSE)),"",VLOOKUP(C29,Kommentarliste!$E$109:$N$149,Kommentarliste!$J$4,FALSE))</f>
        <v/>
      </c>
      <c r="E29" s="1927"/>
      <c r="F29" s="1927"/>
      <c r="G29" s="1927"/>
      <c r="H29" s="1927"/>
      <c r="I29" s="1927"/>
      <c r="J29" s="1927"/>
      <c r="K29" s="1928"/>
      <c r="L29" s="1746"/>
    </row>
    <row r="30" spans="2:12" ht="55.15" customHeight="1" x14ac:dyDescent="0.2">
      <c r="B30" s="199" t="str">
        <f t="shared" si="0"/>
        <v>G</v>
      </c>
      <c r="C30" s="225">
        <v>13</v>
      </c>
      <c r="D30" s="1926" t="str">
        <f>IF(ISERROR(VLOOKUP(C30,Kommentarliste!$E$109:$N$149,Kommentarliste!$J$4,FALSE)),"",VLOOKUP(C30,Kommentarliste!$E$109:$N$149,Kommentarliste!$J$4,FALSE))</f>
        <v/>
      </c>
      <c r="E30" s="1927"/>
      <c r="F30" s="1927"/>
      <c r="G30" s="1927"/>
      <c r="H30" s="1927"/>
      <c r="I30" s="1927"/>
      <c r="J30" s="1927"/>
      <c r="K30" s="1928"/>
      <c r="L30" s="1746"/>
    </row>
    <row r="31" spans="2:12" ht="55.15" customHeight="1" x14ac:dyDescent="0.2">
      <c r="B31" s="199" t="str">
        <f t="shared" si="0"/>
        <v>G</v>
      </c>
      <c r="C31" s="225">
        <v>14</v>
      </c>
      <c r="D31" s="1926" t="str">
        <f>IF(ISERROR(VLOOKUP(C31,Kommentarliste!$E$109:$N$149,Kommentarliste!$J$4,FALSE)),"",VLOOKUP(C31,Kommentarliste!$E$109:$N$149,Kommentarliste!$J$4,FALSE))</f>
        <v/>
      </c>
      <c r="E31" s="1927"/>
      <c r="F31" s="1927"/>
      <c r="G31" s="1927"/>
      <c r="H31" s="1927"/>
      <c r="I31" s="1927"/>
      <c r="J31" s="1927"/>
      <c r="K31" s="1928"/>
      <c r="L31" s="1746"/>
    </row>
    <row r="32" spans="2:12" ht="55.15" customHeight="1" x14ac:dyDescent="0.2">
      <c r="C32" s="225">
        <v>15</v>
      </c>
      <c r="D32" s="1926" t="str">
        <f>IF(ISERROR(VLOOKUP(C32,Kommentarliste!$E$109:$N$149,Kommentarliste!$J$4,FALSE)),"",VLOOKUP(C32,Kommentarliste!$E$109:$N$149,Kommentarliste!$J$4,FALSE))</f>
        <v/>
      </c>
      <c r="E32" s="1927"/>
      <c r="F32" s="1927"/>
      <c r="G32" s="1927"/>
      <c r="H32" s="1927"/>
      <c r="I32" s="1927"/>
      <c r="J32" s="1927"/>
      <c r="K32" s="1928"/>
      <c r="L32" s="1746"/>
    </row>
    <row r="33" spans="2:12" ht="55.15" customHeight="1" x14ac:dyDescent="0.2">
      <c r="C33" s="225">
        <v>16</v>
      </c>
      <c r="D33" s="1926" t="str">
        <f>IF(ISERROR(VLOOKUP(C33,Kommentarliste!$E$109:$N$149,Kommentarliste!$J$4,FALSE)),"",VLOOKUP(C33,Kommentarliste!$E$109:$N$149,Kommentarliste!$J$4,FALSE))</f>
        <v/>
      </c>
      <c r="E33" s="1927"/>
      <c r="F33" s="1927"/>
      <c r="G33" s="1927"/>
      <c r="H33" s="1927"/>
      <c r="I33" s="1927"/>
      <c r="J33" s="1927"/>
      <c r="K33" s="1928"/>
      <c r="L33" s="1746"/>
    </row>
    <row r="34" spans="2:12" ht="55.15" customHeight="1" x14ac:dyDescent="0.2">
      <c r="B34" s="199" t="str">
        <f t="shared" ref="B34:B45" si="1">IF(D34="","G","")</f>
        <v>G</v>
      </c>
      <c r="C34" s="225">
        <v>17</v>
      </c>
      <c r="D34" s="1926" t="str">
        <f>IF(ISERROR(VLOOKUP(C34,Kommentarliste!$E$109:$N$149,Kommentarliste!$J$4,FALSE)),"",VLOOKUP(C34,Kommentarliste!$E$109:$N$149,Kommentarliste!$J$4,FALSE))</f>
        <v/>
      </c>
      <c r="E34" s="1927"/>
      <c r="F34" s="1927"/>
      <c r="G34" s="1927"/>
      <c r="H34" s="1927"/>
      <c r="I34" s="1927"/>
      <c r="J34" s="1927"/>
      <c r="K34" s="1928"/>
      <c r="L34" s="1746"/>
    </row>
    <row r="35" spans="2:12" ht="55.15" customHeight="1" x14ac:dyDescent="0.2">
      <c r="B35" s="199" t="str">
        <f t="shared" si="1"/>
        <v>G</v>
      </c>
      <c r="C35" s="225">
        <v>18</v>
      </c>
      <c r="D35" s="1926" t="str">
        <f>IF(ISERROR(VLOOKUP(C35,Kommentarliste!$E$109:$N$149,Kommentarliste!$J$4,FALSE)),"",VLOOKUP(C35,Kommentarliste!$E$109:$N$149,Kommentarliste!$J$4,FALSE))</f>
        <v/>
      </c>
      <c r="E35" s="1927"/>
      <c r="F35" s="1927"/>
      <c r="G35" s="1927"/>
      <c r="H35" s="1927"/>
      <c r="I35" s="1927"/>
      <c r="J35" s="1927"/>
      <c r="K35" s="1928"/>
      <c r="L35" s="1746"/>
    </row>
    <row r="36" spans="2:12" ht="55.15" customHeight="1" x14ac:dyDescent="0.2">
      <c r="B36" s="199" t="str">
        <f t="shared" si="1"/>
        <v>G</v>
      </c>
      <c r="C36" s="225">
        <v>19</v>
      </c>
      <c r="D36" s="1926" t="str">
        <f>IF(ISERROR(VLOOKUP(C36,Kommentarliste!$E$109:$N$149,Kommentarliste!$J$4,FALSE)),"",VLOOKUP(C36,Kommentarliste!$E$109:$N$149,Kommentarliste!$J$4,FALSE))</f>
        <v/>
      </c>
      <c r="E36" s="1927"/>
      <c r="F36" s="1927"/>
      <c r="G36" s="1927"/>
      <c r="H36" s="1927"/>
      <c r="I36" s="1927"/>
      <c r="J36" s="1927"/>
      <c r="K36" s="1928"/>
      <c r="L36" s="1746"/>
    </row>
    <row r="37" spans="2:12" ht="55.15" customHeight="1" x14ac:dyDescent="0.2">
      <c r="B37" s="199" t="str">
        <f t="shared" si="1"/>
        <v>G</v>
      </c>
      <c r="C37" s="225">
        <v>20</v>
      </c>
      <c r="D37" s="1926" t="str">
        <f>IF(ISERROR(VLOOKUP(C37,Kommentarliste!$E$109:$N$149,Kommentarliste!$J$4,FALSE)),"",VLOOKUP(C37,Kommentarliste!$E$109:$N$149,Kommentarliste!$J$4,FALSE))</f>
        <v/>
      </c>
      <c r="E37" s="1927"/>
      <c r="F37" s="1927"/>
      <c r="G37" s="1927"/>
      <c r="H37" s="1927"/>
      <c r="I37" s="1927"/>
      <c r="J37" s="1927"/>
      <c r="K37" s="1928"/>
      <c r="L37" s="1746"/>
    </row>
    <row r="38" spans="2:12" ht="55.15" customHeight="1" x14ac:dyDescent="0.2">
      <c r="B38" s="199" t="str">
        <f t="shared" si="1"/>
        <v>G</v>
      </c>
      <c r="C38" s="225">
        <v>21</v>
      </c>
      <c r="D38" s="1926" t="str">
        <f>IF(ISERROR(VLOOKUP(C38,Kommentarliste!$E$109:$N$149,Kommentarliste!$J$4,FALSE)),"",VLOOKUP(C38,Kommentarliste!$E$109:$N$149,Kommentarliste!$J$4,FALSE))</f>
        <v/>
      </c>
      <c r="E38" s="1927"/>
      <c r="F38" s="1927"/>
      <c r="G38" s="1927"/>
      <c r="H38" s="1927"/>
      <c r="I38" s="1927"/>
      <c r="J38" s="1927"/>
      <c r="K38" s="1928"/>
      <c r="L38" s="1746"/>
    </row>
    <row r="39" spans="2:12" ht="55.15" customHeight="1" x14ac:dyDescent="0.2">
      <c r="B39" s="199" t="str">
        <f t="shared" si="1"/>
        <v>G</v>
      </c>
      <c r="C39" s="225">
        <v>22</v>
      </c>
      <c r="D39" s="1926" t="str">
        <f>IF(ISERROR(VLOOKUP(C39,Kommentarliste!$E$109:$N$149,Kommentarliste!$J$4,FALSE)),"",VLOOKUP(C39,Kommentarliste!$E$109:$N$149,Kommentarliste!$J$4,FALSE))</f>
        <v/>
      </c>
      <c r="E39" s="1927"/>
      <c r="F39" s="1927"/>
      <c r="G39" s="1927"/>
      <c r="H39" s="1927"/>
      <c r="I39" s="1927"/>
      <c r="J39" s="1927"/>
      <c r="K39" s="1928"/>
      <c r="L39" s="1746"/>
    </row>
    <row r="40" spans="2:12" ht="55.15" customHeight="1" x14ac:dyDescent="0.2">
      <c r="B40" s="199" t="str">
        <f t="shared" si="1"/>
        <v>G</v>
      </c>
      <c r="C40" s="225">
        <v>23</v>
      </c>
      <c r="D40" s="1926" t="str">
        <f>IF(ISERROR(VLOOKUP(C40,Kommentarliste!$E$109:$N$149,Kommentarliste!$J$4,FALSE)),"",VLOOKUP(C40,Kommentarliste!$E$109:$N$149,Kommentarliste!$J$4,FALSE))</f>
        <v/>
      </c>
      <c r="E40" s="1927"/>
      <c r="F40" s="1927"/>
      <c r="G40" s="1927"/>
      <c r="H40" s="1927"/>
      <c r="I40" s="1927"/>
      <c r="J40" s="1927"/>
      <c r="K40" s="1928"/>
      <c r="L40" s="1746"/>
    </row>
    <row r="41" spans="2:12" ht="55.15" customHeight="1" x14ac:dyDescent="0.2">
      <c r="B41" s="199" t="str">
        <f t="shared" si="1"/>
        <v>G</v>
      </c>
      <c r="C41" s="225">
        <v>24</v>
      </c>
      <c r="D41" s="1926" t="str">
        <f>IF(ISERROR(VLOOKUP(C41,Kommentarliste!$E$109:$N$149,Kommentarliste!$J$4,FALSE)),"",VLOOKUP(C41,Kommentarliste!$E$109:$N$149,Kommentarliste!$J$4,FALSE))</f>
        <v/>
      </c>
      <c r="E41" s="1927"/>
      <c r="F41" s="1927"/>
      <c r="G41" s="1927"/>
      <c r="H41" s="1927"/>
      <c r="I41" s="1927"/>
      <c r="J41" s="1927"/>
      <c r="K41" s="1928"/>
      <c r="L41" s="1746"/>
    </row>
    <row r="42" spans="2:12" ht="55.15" customHeight="1" x14ac:dyDescent="0.2">
      <c r="B42" s="199" t="str">
        <f t="shared" si="1"/>
        <v>G</v>
      </c>
      <c r="C42" s="225">
        <v>25</v>
      </c>
      <c r="D42" s="1926" t="str">
        <f>IF(ISERROR(VLOOKUP(C42,Kommentarliste!$E$109:$N$149,Kommentarliste!$J$4,FALSE)),"",VLOOKUP(C42,Kommentarliste!$E$109:$N$149,Kommentarliste!$J$4,FALSE))</f>
        <v/>
      </c>
      <c r="E42" s="1927"/>
      <c r="F42" s="1927"/>
      <c r="G42" s="1927"/>
      <c r="H42" s="1927"/>
      <c r="I42" s="1927"/>
      <c r="J42" s="1927"/>
      <c r="K42" s="1928"/>
      <c r="L42" s="1746"/>
    </row>
    <row r="43" spans="2:12" ht="55.15" customHeight="1" x14ac:dyDescent="0.2">
      <c r="B43" s="199" t="str">
        <f t="shared" si="1"/>
        <v>G</v>
      </c>
      <c r="C43" s="225">
        <v>26</v>
      </c>
      <c r="D43" s="1926" t="str">
        <f>IF(ISERROR(VLOOKUP(C43,Kommentarliste!$E$109:$N$149,Kommentarliste!$J$4,FALSE)),"",VLOOKUP(C43,Kommentarliste!$E$109:$N$149,Kommentarliste!$J$4,FALSE))</f>
        <v/>
      </c>
      <c r="E43" s="1927"/>
      <c r="F43" s="1927"/>
      <c r="G43" s="1927"/>
      <c r="H43" s="1927"/>
      <c r="I43" s="1927"/>
      <c r="J43" s="1927"/>
      <c r="K43" s="1928"/>
      <c r="L43" s="1746"/>
    </row>
    <row r="44" spans="2:12" ht="55.15" customHeight="1" x14ac:dyDescent="0.2">
      <c r="B44" s="199" t="str">
        <f t="shared" si="1"/>
        <v>G</v>
      </c>
      <c r="C44" s="225">
        <v>27</v>
      </c>
      <c r="D44" s="1926" t="str">
        <f>IF(ISERROR(VLOOKUP(C44,Kommentarliste!$E$109:$N$149,Kommentarliste!$J$4,FALSE)),"",VLOOKUP(C44,Kommentarliste!$E$109:$N$149,Kommentarliste!$J$4,FALSE))</f>
        <v/>
      </c>
      <c r="E44" s="1927"/>
      <c r="F44" s="1927"/>
      <c r="G44" s="1927"/>
      <c r="H44" s="1927"/>
      <c r="I44" s="1927"/>
      <c r="J44" s="1927"/>
      <c r="K44" s="1928"/>
      <c r="L44" s="1746"/>
    </row>
    <row r="45" spans="2:12" ht="55.15" customHeight="1" x14ac:dyDescent="0.2">
      <c r="B45" s="199" t="str">
        <f t="shared" si="1"/>
        <v>G</v>
      </c>
      <c r="C45" s="225">
        <v>28</v>
      </c>
      <c r="D45" s="1926" t="str">
        <f>IF(ISERROR(VLOOKUP(C45,Kommentarliste!$E$109:$N$149,Kommentarliste!$J$4,FALSE)),"",VLOOKUP(C45,Kommentarliste!$E$109:$N$149,Kommentarliste!$J$4,FALSE))</f>
        <v/>
      </c>
      <c r="E45" s="1927"/>
      <c r="F45" s="1927"/>
      <c r="G45" s="1927"/>
      <c r="H45" s="1927"/>
      <c r="I45" s="1927"/>
      <c r="J45" s="1927"/>
      <c r="K45" s="1928"/>
      <c r="L45" s="1746"/>
    </row>
    <row r="46" spans="2:12" ht="55.15" customHeight="1" x14ac:dyDescent="0.2">
      <c r="B46" s="199"/>
      <c r="C46" s="225">
        <v>29</v>
      </c>
      <c r="D46" s="1926" t="str">
        <f>IF(ISERROR(VLOOKUP(C46,Kommentarliste!$E$109:$N$149,Kommentarliste!$J$4,FALSE)),"",VLOOKUP(C46,Kommentarliste!$E$109:$N$149,Kommentarliste!$J$4,FALSE))</f>
        <v/>
      </c>
      <c r="E46" s="1927"/>
      <c r="F46" s="1927"/>
      <c r="G46" s="1927"/>
      <c r="H46" s="1927"/>
      <c r="I46" s="1927"/>
      <c r="J46" s="1927"/>
      <c r="K46" s="1928"/>
      <c r="L46" s="1746"/>
    </row>
    <row r="47" spans="2:12" ht="55.15" customHeight="1" x14ac:dyDescent="0.2">
      <c r="B47" s="199"/>
      <c r="C47" s="225">
        <v>30</v>
      </c>
      <c r="D47" s="1926" t="str">
        <f>IF(ISERROR(VLOOKUP(C47,Kommentarliste!$E$109:$N$149,Kommentarliste!$J$4,FALSE)),"",VLOOKUP(C47,Kommentarliste!$E$109:$N$149,Kommentarliste!$J$4,FALSE))</f>
        <v/>
      </c>
      <c r="E47" s="1927"/>
      <c r="F47" s="1927"/>
      <c r="G47" s="1927"/>
      <c r="H47" s="1927"/>
      <c r="I47" s="1927"/>
      <c r="J47" s="1927"/>
      <c r="K47" s="1928"/>
      <c r="L47" s="1746"/>
    </row>
    <row r="48" spans="2:12" ht="55.15" customHeight="1" x14ac:dyDescent="0.2">
      <c r="C48" s="225">
        <v>31</v>
      </c>
      <c r="D48" s="1926" t="str">
        <f>IF(ISERROR(VLOOKUP(C48,Kommentarliste!$E$109:$N$149,Kommentarliste!$J$4,FALSE)),"",VLOOKUP(C48,Kommentarliste!$E$109:$N$149,Kommentarliste!$J$4,FALSE))</f>
        <v/>
      </c>
      <c r="E48" s="1927"/>
      <c r="F48" s="1927"/>
      <c r="G48" s="1927"/>
      <c r="H48" s="1927"/>
      <c r="I48" s="1927"/>
      <c r="J48" s="1927"/>
      <c r="K48" s="1928"/>
      <c r="L48" s="1746"/>
    </row>
    <row r="49" spans="3:12" ht="55.15" customHeight="1" x14ac:dyDescent="0.2">
      <c r="C49" s="225">
        <v>32</v>
      </c>
      <c r="D49" s="1926" t="str">
        <f>IF(ISERROR(VLOOKUP(C49,Kommentarliste!$E$109:$N$149,Kommentarliste!$J$4,FALSE)),"",VLOOKUP(C49,Kommentarliste!$E$109:$N$149,Kommentarliste!$J$4,FALSE))</f>
        <v/>
      </c>
      <c r="E49" s="1927"/>
      <c r="F49" s="1927"/>
      <c r="G49" s="1927"/>
      <c r="H49" s="1927"/>
      <c r="I49" s="1927"/>
      <c r="J49" s="1927"/>
      <c r="K49" s="1928"/>
      <c r="L49" s="1746"/>
    </row>
    <row r="50" spans="3:12" ht="55.15" customHeight="1" x14ac:dyDescent="0.2">
      <c r="C50" s="225">
        <v>33</v>
      </c>
      <c r="D50" s="1926" t="str">
        <f>IF(ISERROR(VLOOKUP(C50,Kommentarliste!$E$109:$N$149,Kommentarliste!$J$4,FALSE)),"",VLOOKUP(C50,Kommentarliste!$E$109:$N$149,Kommentarliste!$J$4,FALSE))</f>
        <v/>
      </c>
      <c r="E50" s="1927"/>
      <c r="F50" s="1927"/>
      <c r="G50" s="1927"/>
      <c r="H50" s="1927"/>
      <c r="I50" s="1927"/>
      <c r="J50" s="1927"/>
      <c r="K50" s="1928"/>
      <c r="L50" s="1746"/>
    </row>
    <row r="51" spans="3:12" ht="55.15" customHeight="1" x14ac:dyDescent="0.2">
      <c r="C51" s="225">
        <v>34</v>
      </c>
      <c r="D51" s="1926"/>
      <c r="E51" s="1927"/>
      <c r="F51" s="1927"/>
      <c r="G51" s="1927"/>
      <c r="H51" s="1927"/>
      <c r="I51" s="1927"/>
      <c r="J51" s="1927"/>
      <c r="K51" s="1928"/>
      <c r="L51" s="1746"/>
    </row>
  </sheetData>
  <sheetProtection password="8677" sheet="1" objects="1" scenarios="1"/>
  <mergeCells count="35">
    <mergeCell ref="I11:K12"/>
    <mergeCell ref="D40:K40"/>
    <mergeCell ref="D41:K41"/>
    <mergeCell ref="D32:K32"/>
    <mergeCell ref="D33:K33"/>
    <mergeCell ref="D24:K24"/>
    <mergeCell ref="D25:K25"/>
    <mergeCell ref="D26:K26"/>
    <mergeCell ref="D27:K27"/>
    <mergeCell ref="D28:K28"/>
    <mergeCell ref="D23:K23"/>
    <mergeCell ref="D18:K18"/>
    <mergeCell ref="D19:K19"/>
    <mergeCell ref="D20:K20"/>
    <mergeCell ref="D21:K21"/>
    <mergeCell ref="D22:K22"/>
    <mergeCell ref="D29:K29"/>
    <mergeCell ref="D30:K30"/>
    <mergeCell ref="D31:K31"/>
    <mergeCell ref="D38:K38"/>
    <mergeCell ref="D39:K39"/>
    <mergeCell ref="D34:K34"/>
    <mergeCell ref="D35:K35"/>
    <mergeCell ref="D36:K36"/>
    <mergeCell ref="D37:K37"/>
    <mergeCell ref="D48:K48"/>
    <mergeCell ref="D49:K49"/>
    <mergeCell ref="D50:K50"/>
    <mergeCell ref="D51:K51"/>
    <mergeCell ref="D42:K42"/>
    <mergeCell ref="D47:K47"/>
    <mergeCell ref="D44:K44"/>
    <mergeCell ref="D45:K45"/>
    <mergeCell ref="D43:K43"/>
    <mergeCell ref="D46:K46"/>
  </mergeCells>
  <conditionalFormatting sqref="D18:K18">
    <cfRule type="beginsWith" dxfId="1" priority="2" operator="beginsWith" text="Kommentare">
      <formula>LEFT(D18,LEN("Kommentare"))="Kommentare"</formula>
    </cfRule>
  </conditionalFormatting>
  <conditionalFormatting sqref="D19:K51">
    <cfRule type="beginsWith" dxfId="0" priority="1" operator="beginsWith" text="Kommentare">
      <formula>LEFT(D19,LEN("Kommentare"))="Kommentare"</formula>
    </cfRule>
  </conditionalFormatting>
  <pageMargins left="0.7" right="0.7" top="0.78740157499999996" bottom="0.78740157499999996" header="0.3" footer="0.3"/>
  <pageSetup paperSize="9" scale="84" orientation="portrait" verticalDpi="0" r:id="rId1"/>
  <colBreaks count="1" manualBreakCount="1">
    <brk id="11" max="1048575" man="1"/>
  </colBreaks>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tabColor theme="5" tint="0.39997558519241921"/>
    <pageSetUpPr fitToPage="1"/>
  </sheetPr>
  <dimension ref="A1:AP691"/>
  <sheetViews>
    <sheetView zoomScale="90" zoomScaleNormal="90" workbookViewId="0">
      <pane xSplit="6" ySplit="10" topLeftCell="I12" activePane="bottomRight" state="frozen"/>
      <selection activeCell="A173" sqref="A173"/>
      <selection pane="topRight" activeCell="A173" sqref="A173"/>
      <selection pane="bottomLeft" activeCell="A173" sqref="A173"/>
      <selection pane="bottomRight" activeCell="J55" sqref="J55"/>
    </sheetView>
  </sheetViews>
  <sheetFormatPr baseColWidth="10" defaultRowHeight="14.25" x14ac:dyDescent="0.2"/>
  <cols>
    <col min="1" max="1" width="0.375" style="146" customWidth="1"/>
    <col min="2" max="2" width="0.375" style="22" customWidth="1"/>
    <col min="3" max="3" width="2.5" style="576" bestFit="1" customWidth="1"/>
    <col min="4" max="4" width="5.125" style="146" customWidth="1"/>
    <col min="5" max="5" width="3.5" style="146" customWidth="1"/>
    <col min="6" max="6" width="27.125" style="146" customWidth="1"/>
    <col min="7" max="7" width="4.75" style="576" customWidth="1"/>
    <col min="8" max="8" width="12.5" style="146" customWidth="1"/>
    <col min="9" max="9" width="11" style="146" customWidth="1"/>
    <col min="10" max="10" width="8" style="146" customWidth="1"/>
    <col min="11" max="11" width="6.875" style="146" customWidth="1"/>
    <col min="12" max="12" width="8" style="146" customWidth="1"/>
    <col min="13" max="14" width="5.125" style="146" customWidth="1"/>
    <col min="15" max="15" width="7.125" style="146" customWidth="1"/>
    <col min="16" max="16" width="5.125" style="146" customWidth="1"/>
    <col min="17" max="20" width="5.375" style="146" customWidth="1"/>
    <col min="21" max="21" width="8.75" style="576" customWidth="1"/>
    <col min="22" max="25" width="5.375" style="146" customWidth="1"/>
    <col min="26" max="26" width="5.375" style="595" customWidth="1"/>
    <col min="27" max="28" width="5.375" style="146" customWidth="1"/>
    <col min="29" max="29" width="5.5" style="146" customWidth="1"/>
    <col min="30" max="30" width="6" style="146" customWidth="1"/>
    <col min="31" max="31" width="6" style="576" customWidth="1"/>
    <col min="32" max="32" width="5.875" style="146" customWidth="1"/>
    <col min="33" max="34" width="5.375" style="146" customWidth="1"/>
    <col min="35" max="35" width="2.875" style="146" customWidth="1"/>
    <col min="36" max="36" width="10.5" style="576" bestFit="1" customWidth="1"/>
    <col min="37" max="37" width="14.25" style="597" bestFit="1" customWidth="1"/>
    <col min="38" max="40" width="5.375" style="146" customWidth="1"/>
    <col min="41" max="257" width="11.5" style="146"/>
    <col min="258" max="258" width="6.125" style="146" customWidth="1"/>
    <col min="259" max="259" width="32.375" style="146" customWidth="1"/>
    <col min="260" max="260" width="5.125" style="146" customWidth="1"/>
    <col min="261" max="261" width="5" style="146" customWidth="1"/>
    <col min="262" max="268" width="5.125" style="146" customWidth="1"/>
    <col min="269" max="269" width="5.375" style="146" customWidth="1"/>
    <col min="270" max="270" width="5.5" style="146" customWidth="1"/>
    <col min="271" max="271" width="6" style="146" customWidth="1"/>
    <col min="272" max="272" width="5.875" style="146" customWidth="1"/>
    <col min="273" max="273" width="8.25" style="146" customWidth="1"/>
    <col min="274" max="274" width="5.625" style="146" customWidth="1"/>
    <col min="275" max="277" width="5.125" style="146" customWidth="1"/>
    <col min="278" max="278" width="6.5" style="146" customWidth="1"/>
    <col min="279" max="279" width="2.875" style="146" customWidth="1"/>
    <col min="280" max="280" width="11.5" style="146"/>
    <col min="281" max="281" width="10" style="146" customWidth="1"/>
    <col min="282" max="282" width="4.75" style="146" customWidth="1"/>
    <col min="283" max="283" width="11.5" style="146"/>
    <col min="284" max="290" width="10.125" style="146" customWidth="1"/>
    <col min="291" max="513" width="11.5" style="146"/>
    <col min="514" max="514" width="6.125" style="146" customWidth="1"/>
    <col min="515" max="515" width="32.375" style="146" customWidth="1"/>
    <col min="516" max="516" width="5.125" style="146" customWidth="1"/>
    <col min="517" max="517" width="5" style="146" customWidth="1"/>
    <col min="518" max="524" width="5.125" style="146" customWidth="1"/>
    <col min="525" max="525" width="5.375" style="146" customWidth="1"/>
    <col min="526" max="526" width="5.5" style="146" customWidth="1"/>
    <col min="527" max="527" width="6" style="146" customWidth="1"/>
    <col min="528" max="528" width="5.875" style="146" customWidth="1"/>
    <col min="529" max="529" width="8.25" style="146" customWidth="1"/>
    <col min="530" max="530" width="5.625" style="146" customWidth="1"/>
    <col min="531" max="533" width="5.125" style="146" customWidth="1"/>
    <col min="534" max="534" width="6.5" style="146" customWidth="1"/>
    <col min="535" max="535" width="2.875" style="146" customWidth="1"/>
    <col min="536" max="536" width="11.5" style="146"/>
    <col min="537" max="537" width="10" style="146" customWidth="1"/>
    <col min="538" max="538" width="4.75" style="146" customWidth="1"/>
    <col min="539" max="539" width="11.5" style="146"/>
    <col min="540" max="546" width="10.125" style="146" customWidth="1"/>
    <col min="547" max="769" width="11.5" style="146"/>
    <col min="770" max="770" width="6.125" style="146" customWidth="1"/>
    <col min="771" max="771" width="32.375" style="146" customWidth="1"/>
    <col min="772" max="772" width="5.125" style="146" customWidth="1"/>
    <col min="773" max="773" width="5" style="146" customWidth="1"/>
    <col min="774" max="780" width="5.125" style="146" customWidth="1"/>
    <col min="781" max="781" width="5.375" style="146" customWidth="1"/>
    <col min="782" max="782" width="5.5" style="146" customWidth="1"/>
    <col min="783" max="783" width="6" style="146" customWidth="1"/>
    <col min="784" max="784" width="5.875" style="146" customWidth="1"/>
    <col min="785" max="785" width="8.25" style="146" customWidth="1"/>
    <col min="786" max="786" width="5.625" style="146" customWidth="1"/>
    <col min="787" max="789" width="5.125" style="146" customWidth="1"/>
    <col min="790" max="790" width="6.5" style="146" customWidth="1"/>
    <col min="791" max="791" width="2.875" style="146" customWidth="1"/>
    <col min="792" max="792" width="11.5" style="146"/>
    <col min="793" max="793" width="10" style="146" customWidth="1"/>
    <col min="794" max="794" width="4.75" style="146" customWidth="1"/>
    <col min="795" max="795" width="11.5" style="146"/>
    <col min="796" max="802" width="10.125" style="146" customWidth="1"/>
    <col min="803" max="1025" width="11.5" style="146"/>
    <col min="1026" max="1026" width="6.125" style="146" customWidth="1"/>
    <col min="1027" max="1027" width="32.375" style="146" customWidth="1"/>
    <col min="1028" max="1028" width="5.125" style="146" customWidth="1"/>
    <col min="1029" max="1029" width="5" style="146" customWidth="1"/>
    <col min="1030" max="1036" width="5.125" style="146" customWidth="1"/>
    <col min="1037" max="1037" width="5.375" style="146" customWidth="1"/>
    <col min="1038" max="1038" width="5.5" style="146" customWidth="1"/>
    <col min="1039" max="1039" width="6" style="146" customWidth="1"/>
    <col min="1040" max="1040" width="5.875" style="146" customWidth="1"/>
    <col min="1041" max="1041" width="8.25" style="146" customWidth="1"/>
    <col min="1042" max="1042" width="5.625" style="146" customWidth="1"/>
    <col min="1043" max="1045" width="5.125" style="146" customWidth="1"/>
    <col min="1046" max="1046" width="6.5" style="146" customWidth="1"/>
    <col min="1047" max="1047" width="2.875" style="146" customWidth="1"/>
    <col min="1048" max="1048" width="11.5" style="146"/>
    <col min="1049" max="1049" width="10" style="146" customWidth="1"/>
    <col min="1050" max="1050" width="4.75" style="146" customWidth="1"/>
    <col min="1051" max="1051" width="11.5" style="146"/>
    <col min="1052" max="1058" width="10.125" style="146" customWidth="1"/>
    <col min="1059" max="1281" width="11.5" style="146"/>
    <col min="1282" max="1282" width="6.125" style="146" customWidth="1"/>
    <col min="1283" max="1283" width="32.375" style="146" customWidth="1"/>
    <col min="1284" max="1284" width="5.125" style="146" customWidth="1"/>
    <col min="1285" max="1285" width="5" style="146" customWidth="1"/>
    <col min="1286" max="1292" width="5.125" style="146" customWidth="1"/>
    <col min="1293" max="1293" width="5.375" style="146" customWidth="1"/>
    <col min="1294" max="1294" width="5.5" style="146" customWidth="1"/>
    <col min="1295" max="1295" width="6" style="146" customWidth="1"/>
    <col min="1296" max="1296" width="5.875" style="146" customWidth="1"/>
    <col min="1297" max="1297" width="8.25" style="146" customWidth="1"/>
    <col min="1298" max="1298" width="5.625" style="146" customWidth="1"/>
    <col min="1299" max="1301" width="5.125" style="146" customWidth="1"/>
    <col min="1302" max="1302" width="6.5" style="146" customWidth="1"/>
    <col min="1303" max="1303" width="2.875" style="146" customWidth="1"/>
    <col min="1304" max="1304" width="11.5" style="146"/>
    <col min="1305" max="1305" width="10" style="146" customWidth="1"/>
    <col min="1306" max="1306" width="4.75" style="146" customWidth="1"/>
    <col min="1307" max="1307" width="11.5" style="146"/>
    <col min="1308" max="1314" width="10.125" style="146" customWidth="1"/>
    <col min="1315" max="1537" width="11.5" style="146"/>
    <col min="1538" max="1538" width="6.125" style="146" customWidth="1"/>
    <col min="1539" max="1539" width="32.375" style="146" customWidth="1"/>
    <col min="1540" max="1540" width="5.125" style="146" customWidth="1"/>
    <col min="1541" max="1541" width="5" style="146" customWidth="1"/>
    <col min="1542" max="1548" width="5.125" style="146" customWidth="1"/>
    <col min="1549" max="1549" width="5.375" style="146" customWidth="1"/>
    <col min="1550" max="1550" width="5.5" style="146" customWidth="1"/>
    <col min="1551" max="1551" width="6" style="146" customWidth="1"/>
    <col min="1552" max="1552" width="5.875" style="146" customWidth="1"/>
    <col min="1553" max="1553" width="8.25" style="146" customWidth="1"/>
    <col min="1554" max="1554" width="5.625" style="146" customWidth="1"/>
    <col min="1555" max="1557" width="5.125" style="146" customWidth="1"/>
    <col min="1558" max="1558" width="6.5" style="146" customWidth="1"/>
    <col min="1559" max="1559" width="2.875" style="146" customWidth="1"/>
    <col min="1560" max="1560" width="11.5" style="146"/>
    <col min="1561" max="1561" width="10" style="146" customWidth="1"/>
    <col min="1562" max="1562" width="4.75" style="146" customWidth="1"/>
    <col min="1563" max="1563" width="11.5" style="146"/>
    <col min="1564" max="1570" width="10.125" style="146" customWidth="1"/>
    <col min="1571" max="1793" width="11.5" style="146"/>
    <col min="1794" max="1794" width="6.125" style="146" customWidth="1"/>
    <col min="1795" max="1795" width="32.375" style="146" customWidth="1"/>
    <col min="1796" max="1796" width="5.125" style="146" customWidth="1"/>
    <col min="1797" max="1797" width="5" style="146" customWidth="1"/>
    <col min="1798" max="1804" width="5.125" style="146" customWidth="1"/>
    <col min="1805" max="1805" width="5.375" style="146" customWidth="1"/>
    <col min="1806" max="1806" width="5.5" style="146" customWidth="1"/>
    <col min="1807" max="1807" width="6" style="146" customWidth="1"/>
    <col min="1808" max="1808" width="5.875" style="146" customWidth="1"/>
    <col min="1809" max="1809" width="8.25" style="146" customWidth="1"/>
    <col min="1810" max="1810" width="5.625" style="146" customWidth="1"/>
    <col min="1811" max="1813" width="5.125" style="146" customWidth="1"/>
    <col min="1814" max="1814" width="6.5" style="146" customWidth="1"/>
    <col min="1815" max="1815" width="2.875" style="146" customWidth="1"/>
    <col min="1816" max="1816" width="11.5" style="146"/>
    <col min="1817" max="1817" width="10" style="146" customWidth="1"/>
    <col min="1818" max="1818" width="4.75" style="146" customWidth="1"/>
    <col min="1819" max="1819" width="11.5" style="146"/>
    <col min="1820" max="1826" width="10.125" style="146" customWidth="1"/>
    <col min="1827" max="2049" width="11.5" style="146"/>
    <col min="2050" max="2050" width="6.125" style="146" customWidth="1"/>
    <col min="2051" max="2051" width="32.375" style="146" customWidth="1"/>
    <col min="2052" max="2052" width="5.125" style="146" customWidth="1"/>
    <col min="2053" max="2053" width="5" style="146" customWidth="1"/>
    <col min="2054" max="2060" width="5.125" style="146" customWidth="1"/>
    <col min="2061" max="2061" width="5.375" style="146" customWidth="1"/>
    <col min="2062" max="2062" width="5.5" style="146" customWidth="1"/>
    <col min="2063" max="2063" width="6" style="146" customWidth="1"/>
    <col min="2064" max="2064" width="5.875" style="146" customWidth="1"/>
    <col min="2065" max="2065" width="8.25" style="146" customWidth="1"/>
    <col min="2066" max="2066" width="5.625" style="146" customWidth="1"/>
    <col min="2067" max="2069" width="5.125" style="146" customWidth="1"/>
    <col min="2070" max="2070" width="6.5" style="146" customWidth="1"/>
    <col min="2071" max="2071" width="2.875" style="146" customWidth="1"/>
    <col min="2072" max="2072" width="11.5" style="146"/>
    <col min="2073" max="2073" width="10" style="146" customWidth="1"/>
    <col min="2074" max="2074" width="4.75" style="146" customWidth="1"/>
    <col min="2075" max="2075" width="11.5" style="146"/>
    <col min="2076" max="2082" width="10.125" style="146" customWidth="1"/>
    <col min="2083" max="2305" width="11.5" style="146"/>
    <col min="2306" max="2306" width="6.125" style="146" customWidth="1"/>
    <col min="2307" max="2307" width="32.375" style="146" customWidth="1"/>
    <col min="2308" max="2308" width="5.125" style="146" customWidth="1"/>
    <col min="2309" max="2309" width="5" style="146" customWidth="1"/>
    <col min="2310" max="2316" width="5.125" style="146" customWidth="1"/>
    <col min="2317" max="2317" width="5.375" style="146" customWidth="1"/>
    <col min="2318" max="2318" width="5.5" style="146" customWidth="1"/>
    <col min="2319" max="2319" width="6" style="146" customWidth="1"/>
    <col min="2320" max="2320" width="5.875" style="146" customWidth="1"/>
    <col min="2321" max="2321" width="8.25" style="146" customWidth="1"/>
    <col min="2322" max="2322" width="5.625" style="146" customWidth="1"/>
    <col min="2323" max="2325" width="5.125" style="146" customWidth="1"/>
    <col min="2326" max="2326" width="6.5" style="146" customWidth="1"/>
    <col min="2327" max="2327" width="2.875" style="146" customWidth="1"/>
    <col min="2328" max="2328" width="11.5" style="146"/>
    <col min="2329" max="2329" width="10" style="146" customWidth="1"/>
    <col min="2330" max="2330" width="4.75" style="146" customWidth="1"/>
    <col min="2331" max="2331" width="11.5" style="146"/>
    <col min="2332" max="2338" width="10.125" style="146" customWidth="1"/>
    <col min="2339" max="2561" width="11.5" style="146"/>
    <col min="2562" max="2562" width="6.125" style="146" customWidth="1"/>
    <col min="2563" max="2563" width="32.375" style="146" customWidth="1"/>
    <col min="2564" max="2564" width="5.125" style="146" customWidth="1"/>
    <col min="2565" max="2565" width="5" style="146" customWidth="1"/>
    <col min="2566" max="2572" width="5.125" style="146" customWidth="1"/>
    <col min="2573" max="2573" width="5.375" style="146" customWidth="1"/>
    <col min="2574" max="2574" width="5.5" style="146" customWidth="1"/>
    <col min="2575" max="2575" width="6" style="146" customWidth="1"/>
    <col min="2576" max="2576" width="5.875" style="146" customWidth="1"/>
    <col min="2577" max="2577" width="8.25" style="146" customWidth="1"/>
    <col min="2578" max="2578" width="5.625" style="146" customWidth="1"/>
    <col min="2579" max="2581" width="5.125" style="146" customWidth="1"/>
    <col min="2582" max="2582" width="6.5" style="146" customWidth="1"/>
    <col min="2583" max="2583" width="2.875" style="146" customWidth="1"/>
    <col min="2584" max="2584" width="11.5" style="146"/>
    <col min="2585" max="2585" width="10" style="146" customWidth="1"/>
    <col min="2586" max="2586" width="4.75" style="146" customWidth="1"/>
    <col min="2587" max="2587" width="11.5" style="146"/>
    <col min="2588" max="2594" width="10.125" style="146" customWidth="1"/>
    <col min="2595" max="2817" width="11.5" style="146"/>
    <col min="2818" max="2818" width="6.125" style="146" customWidth="1"/>
    <col min="2819" max="2819" width="32.375" style="146" customWidth="1"/>
    <col min="2820" max="2820" width="5.125" style="146" customWidth="1"/>
    <col min="2821" max="2821" width="5" style="146" customWidth="1"/>
    <col min="2822" max="2828" width="5.125" style="146" customWidth="1"/>
    <col min="2829" max="2829" width="5.375" style="146" customWidth="1"/>
    <col min="2830" max="2830" width="5.5" style="146" customWidth="1"/>
    <col min="2831" max="2831" width="6" style="146" customWidth="1"/>
    <col min="2832" max="2832" width="5.875" style="146" customWidth="1"/>
    <col min="2833" max="2833" width="8.25" style="146" customWidth="1"/>
    <col min="2834" max="2834" width="5.625" style="146" customWidth="1"/>
    <col min="2835" max="2837" width="5.125" style="146" customWidth="1"/>
    <col min="2838" max="2838" width="6.5" style="146" customWidth="1"/>
    <col min="2839" max="2839" width="2.875" style="146" customWidth="1"/>
    <col min="2840" max="2840" width="11.5" style="146"/>
    <col min="2841" max="2841" width="10" style="146" customWidth="1"/>
    <col min="2842" max="2842" width="4.75" style="146" customWidth="1"/>
    <col min="2843" max="2843" width="11.5" style="146"/>
    <col min="2844" max="2850" width="10.125" style="146" customWidth="1"/>
    <col min="2851" max="3073" width="11.5" style="146"/>
    <col min="3074" max="3074" width="6.125" style="146" customWidth="1"/>
    <col min="3075" max="3075" width="32.375" style="146" customWidth="1"/>
    <col min="3076" max="3076" width="5.125" style="146" customWidth="1"/>
    <col min="3077" max="3077" width="5" style="146" customWidth="1"/>
    <col min="3078" max="3084" width="5.125" style="146" customWidth="1"/>
    <col min="3085" max="3085" width="5.375" style="146" customWidth="1"/>
    <col min="3086" max="3086" width="5.5" style="146" customWidth="1"/>
    <col min="3087" max="3087" width="6" style="146" customWidth="1"/>
    <col min="3088" max="3088" width="5.875" style="146" customWidth="1"/>
    <col min="3089" max="3089" width="8.25" style="146" customWidth="1"/>
    <col min="3090" max="3090" width="5.625" style="146" customWidth="1"/>
    <col min="3091" max="3093" width="5.125" style="146" customWidth="1"/>
    <col min="3094" max="3094" width="6.5" style="146" customWidth="1"/>
    <col min="3095" max="3095" width="2.875" style="146" customWidth="1"/>
    <col min="3096" max="3096" width="11.5" style="146"/>
    <col min="3097" max="3097" width="10" style="146" customWidth="1"/>
    <col min="3098" max="3098" width="4.75" style="146" customWidth="1"/>
    <col min="3099" max="3099" width="11.5" style="146"/>
    <col min="3100" max="3106" width="10.125" style="146" customWidth="1"/>
    <col min="3107" max="3329" width="11.5" style="146"/>
    <col min="3330" max="3330" width="6.125" style="146" customWidth="1"/>
    <col min="3331" max="3331" width="32.375" style="146" customWidth="1"/>
    <col min="3332" max="3332" width="5.125" style="146" customWidth="1"/>
    <col min="3333" max="3333" width="5" style="146" customWidth="1"/>
    <col min="3334" max="3340" width="5.125" style="146" customWidth="1"/>
    <col min="3341" max="3341" width="5.375" style="146" customWidth="1"/>
    <col min="3342" max="3342" width="5.5" style="146" customWidth="1"/>
    <col min="3343" max="3343" width="6" style="146" customWidth="1"/>
    <col min="3344" max="3344" width="5.875" style="146" customWidth="1"/>
    <col min="3345" max="3345" width="8.25" style="146" customWidth="1"/>
    <col min="3346" max="3346" width="5.625" style="146" customWidth="1"/>
    <col min="3347" max="3349" width="5.125" style="146" customWidth="1"/>
    <col min="3350" max="3350" width="6.5" style="146" customWidth="1"/>
    <col min="3351" max="3351" width="2.875" style="146" customWidth="1"/>
    <col min="3352" max="3352" width="11.5" style="146"/>
    <col min="3353" max="3353" width="10" style="146" customWidth="1"/>
    <col min="3354" max="3354" width="4.75" style="146" customWidth="1"/>
    <col min="3355" max="3355" width="11.5" style="146"/>
    <col min="3356" max="3362" width="10.125" style="146" customWidth="1"/>
    <col min="3363" max="3585" width="11.5" style="146"/>
    <col min="3586" max="3586" width="6.125" style="146" customWidth="1"/>
    <col min="3587" max="3587" width="32.375" style="146" customWidth="1"/>
    <col min="3588" max="3588" width="5.125" style="146" customWidth="1"/>
    <col min="3589" max="3589" width="5" style="146" customWidth="1"/>
    <col min="3590" max="3596" width="5.125" style="146" customWidth="1"/>
    <col min="3597" max="3597" width="5.375" style="146" customWidth="1"/>
    <col min="3598" max="3598" width="5.5" style="146" customWidth="1"/>
    <col min="3599" max="3599" width="6" style="146" customWidth="1"/>
    <col min="3600" max="3600" width="5.875" style="146" customWidth="1"/>
    <col min="3601" max="3601" width="8.25" style="146" customWidth="1"/>
    <col min="3602" max="3602" width="5.625" style="146" customWidth="1"/>
    <col min="3603" max="3605" width="5.125" style="146" customWidth="1"/>
    <col min="3606" max="3606" width="6.5" style="146" customWidth="1"/>
    <col min="3607" max="3607" width="2.875" style="146" customWidth="1"/>
    <col min="3608" max="3608" width="11.5" style="146"/>
    <col min="3609" max="3609" width="10" style="146" customWidth="1"/>
    <col min="3610" max="3610" width="4.75" style="146" customWidth="1"/>
    <col min="3611" max="3611" width="11.5" style="146"/>
    <col min="3612" max="3618" width="10.125" style="146" customWidth="1"/>
    <col min="3619" max="3841" width="11.5" style="146"/>
    <col min="3842" max="3842" width="6.125" style="146" customWidth="1"/>
    <col min="3843" max="3843" width="32.375" style="146" customWidth="1"/>
    <col min="3844" max="3844" width="5.125" style="146" customWidth="1"/>
    <col min="3845" max="3845" width="5" style="146" customWidth="1"/>
    <col min="3846" max="3852" width="5.125" style="146" customWidth="1"/>
    <col min="3853" max="3853" width="5.375" style="146" customWidth="1"/>
    <col min="3854" max="3854" width="5.5" style="146" customWidth="1"/>
    <col min="3855" max="3855" width="6" style="146" customWidth="1"/>
    <col min="3856" max="3856" width="5.875" style="146" customWidth="1"/>
    <col min="3857" max="3857" width="8.25" style="146" customWidth="1"/>
    <col min="3858" max="3858" width="5.625" style="146" customWidth="1"/>
    <col min="3859" max="3861" width="5.125" style="146" customWidth="1"/>
    <col min="3862" max="3862" width="6.5" style="146" customWidth="1"/>
    <col min="3863" max="3863" width="2.875" style="146" customWidth="1"/>
    <col min="3864" max="3864" width="11.5" style="146"/>
    <col min="3865" max="3865" width="10" style="146" customWidth="1"/>
    <col min="3866" max="3866" width="4.75" style="146" customWidth="1"/>
    <col min="3867" max="3867" width="11.5" style="146"/>
    <col min="3868" max="3874" width="10.125" style="146" customWidth="1"/>
    <col min="3875" max="4097" width="11.5" style="146"/>
    <col min="4098" max="4098" width="6.125" style="146" customWidth="1"/>
    <col min="4099" max="4099" width="32.375" style="146" customWidth="1"/>
    <col min="4100" max="4100" width="5.125" style="146" customWidth="1"/>
    <col min="4101" max="4101" width="5" style="146" customWidth="1"/>
    <col min="4102" max="4108" width="5.125" style="146" customWidth="1"/>
    <col min="4109" max="4109" width="5.375" style="146" customWidth="1"/>
    <col min="4110" max="4110" width="5.5" style="146" customWidth="1"/>
    <col min="4111" max="4111" width="6" style="146" customWidth="1"/>
    <col min="4112" max="4112" width="5.875" style="146" customWidth="1"/>
    <col min="4113" max="4113" width="8.25" style="146" customWidth="1"/>
    <col min="4114" max="4114" width="5.625" style="146" customWidth="1"/>
    <col min="4115" max="4117" width="5.125" style="146" customWidth="1"/>
    <col min="4118" max="4118" width="6.5" style="146" customWidth="1"/>
    <col min="4119" max="4119" width="2.875" style="146" customWidth="1"/>
    <col min="4120" max="4120" width="11.5" style="146"/>
    <col min="4121" max="4121" width="10" style="146" customWidth="1"/>
    <col min="4122" max="4122" width="4.75" style="146" customWidth="1"/>
    <col min="4123" max="4123" width="11.5" style="146"/>
    <col min="4124" max="4130" width="10.125" style="146" customWidth="1"/>
    <col min="4131" max="4353" width="11.5" style="146"/>
    <col min="4354" max="4354" width="6.125" style="146" customWidth="1"/>
    <col min="4355" max="4355" width="32.375" style="146" customWidth="1"/>
    <col min="4356" max="4356" width="5.125" style="146" customWidth="1"/>
    <col min="4357" max="4357" width="5" style="146" customWidth="1"/>
    <col min="4358" max="4364" width="5.125" style="146" customWidth="1"/>
    <col min="4365" max="4365" width="5.375" style="146" customWidth="1"/>
    <col min="4366" max="4366" width="5.5" style="146" customWidth="1"/>
    <col min="4367" max="4367" width="6" style="146" customWidth="1"/>
    <col min="4368" max="4368" width="5.875" style="146" customWidth="1"/>
    <col min="4369" max="4369" width="8.25" style="146" customWidth="1"/>
    <col min="4370" max="4370" width="5.625" style="146" customWidth="1"/>
    <col min="4371" max="4373" width="5.125" style="146" customWidth="1"/>
    <col min="4374" max="4374" width="6.5" style="146" customWidth="1"/>
    <col min="4375" max="4375" width="2.875" style="146" customWidth="1"/>
    <col min="4376" max="4376" width="11.5" style="146"/>
    <col min="4377" max="4377" width="10" style="146" customWidth="1"/>
    <col min="4378" max="4378" width="4.75" style="146" customWidth="1"/>
    <col min="4379" max="4379" width="11.5" style="146"/>
    <col min="4380" max="4386" width="10.125" style="146" customWidth="1"/>
    <col min="4387" max="4609" width="11.5" style="146"/>
    <col min="4610" max="4610" width="6.125" style="146" customWidth="1"/>
    <col min="4611" max="4611" width="32.375" style="146" customWidth="1"/>
    <col min="4612" max="4612" width="5.125" style="146" customWidth="1"/>
    <col min="4613" max="4613" width="5" style="146" customWidth="1"/>
    <col min="4614" max="4620" width="5.125" style="146" customWidth="1"/>
    <col min="4621" max="4621" width="5.375" style="146" customWidth="1"/>
    <col min="4622" max="4622" width="5.5" style="146" customWidth="1"/>
    <col min="4623" max="4623" width="6" style="146" customWidth="1"/>
    <col min="4624" max="4624" width="5.875" style="146" customWidth="1"/>
    <col min="4625" max="4625" width="8.25" style="146" customWidth="1"/>
    <col min="4626" max="4626" width="5.625" style="146" customWidth="1"/>
    <col min="4627" max="4629" width="5.125" style="146" customWidth="1"/>
    <col min="4630" max="4630" width="6.5" style="146" customWidth="1"/>
    <col min="4631" max="4631" width="2.875" style="146" customWidth="1"/>
    <col min="4632" max="4632" width="11.5" style="146"/>
    <col min="4633" max="4633" width="10" style="146" customWidth="1"/>
    <col min="4634" max="4634" width="4.75" style="146" customWidth="1"/>
    <col min="4635" max="4635" width="11.5" style="146"/>
    <col min="4636" max="4642" width="10.125" style="146" customWidth="1"/>
    <col min="4643" max="4865" width="11.5" style="146"/>
    <col min="4866" max="4866" width="6.125" style="146" customWidth="1"/>
    <col min="4867" max="4867" width="32.375" style="146" customWidth="1"/>
    <col min="4868" max="4868" width="5.125" style="146" customWidth="1"/>
    <col min="4869" max="4869" width="5" style="146" customWidth="1"/>
    <col min="4870" max="4876" width="5.125" style="146" customWidth="1"/>
    <col min="4877" max="4877" width="5.375" style="146" customWidth="1"/>
    <col min="4878" max="4878" width="5.5" style="146" customWidth="1"/>
    <col min="4879" max="4879" width="6" style="146" customWidth="1"/>
    <col min="4880" max="4880" width="5.875" style="146" customWidth="1"/>
    <col min="4881" max="4881" width="8.25" style="146" customWidth="1"/>
    <col min="4882" max="4882" width="5.625" style="146" customWidth="1"/>
    <col min="4883" max="4885" width="5.125" style="146" customWidth="1"/>
    <col min="4886" max="4886" width="6.5" style="146" customWidth="1"/>
    <col min="4887" max="4887" width="2.875" style="146" customWidth="1"/>
    <col min="4888" max="4888" width="11.5" style="146"/>
    <col min="4889" max="4889" width="10" style="146" customWidth="1"/>
    <col min="4890" max="4890" width="4.75" style="146" customWidth="1"/>
    <col min="4891" max="4891" width="11.5" style="146"/>
    <col min="4892" max="4898" width="10.125" style="146" customWidth="1"/>
    <col min="4899" max="5121" width="11.5" style="146"/>
    <col min="5122" max="5122" width="6.125" style="146" customWidth="1"/>
    <col min="5123" max="5123" width="32.375" style="146" customWidth="1"/>
    <col min="5124" max="5124" width="5.125" style="146" customWidth="1"/>
    <col min="5125" max="5125" width="5" style="146" customWidth="1"/>
    <col min="5126" max="5132" width="5.125" style="146" customWidth="1"/>
    <col min="5133" max="5133" width="5.375" style="146" customWidth="1"/>
    <col min="5134" max="5134" width="5.5" style="146" customWidth="1"/>
    <col min="5135" max="5135" width="6" style="146" customWidth="1"/>
    <col min="5136" max="5136" width="5.875" style="146" customWidth="1"/>
    <col min="5137" max="5137" width="8.25" style="146" customWidth="1"/>
    <col min="5138" max="5138" width="5.625" style="146" customWidth="1"/>
    <col min="5139" max="5141" width="5.125" style="146" customWidth="1"/>
    <col min="5142" max="5142" width="6.5" style="146" customWidth="1"/>
    <col min="5143" max="5143" width="2.875" style="146" customWidth="1"/>
    <col min="5144" max="5144" width="11.5" style="146"/>
    <col min="5145" max="5145" width="10" style="146" customWidth="1"/>
    <col min="5146" max="5146" width="4.75" style="146" customWidth="1"/>
    <col min="5147" max="5147" width="11.5" style="146"/>
    <col min="5148" max="5154" width="10.125" style="146" customWidth="1"/>
    <col min="5155" max="5377" width="11.5" style="146"/>
    <col min="5378" max="5378" width="6.125" style="146" customWidth="1"/>
    <col min="5379" max="5379" width="32.375" style="146" customWidth="1"/>
    <col min="5380" max="5380" width="5.125" style="146" customWidth="1"/>
    <col min="5381" max="5381" width="5" style="146" customWidth="1"/>
    <col min="5382" max="5388" width="5.125" style="146" customWidth="1"/>
    <col min="5389" max="5389" width="5.375" style="146" customWidth="1"/>
    <col min="5390" max="5390" width="5.5" style="146" customWidth="1"/>
    <col min="5391" max="5391" width="6" style="146" customWidth="1"/>
    <col min="5392" max="5392" width="5.875" style="146" customWidth="1"/>
    <col min="5393" max="5393" width="8.25" style="146" customWidth="1"/>
    <col min="5394" max="5394" width="5.625" style="146" customWidth="1"/>
    <col min="5395" max="5397" width="5.125" style="146" customWidth="1"/>
    <col min="5398" max="5398" width="6.5" style="146" customWidth="1"/>
    <col min="5399" max="5399" width="2.875" style="146" customWidth="1"/>
    <col min="5400" max="5400" width="11.5" style="146"/>
    <col min="5401" max="5401" width="10" style="146" customWidth="1"/>
    <col min="5402" max="5402" width="4.75" style="146" customWidth="1"/>
    <col min="5403" max="5403" width="11.5" style="146"/>
    <col min="5404" max="5410" width="10.125" style="146" customWidth="1"/>
    <col min="5411" max="5633" width="11.5" style="146"/>
    <col min="5634" max="5634" width="6.125" style="146" customWidth="1"/>
    <col min="5635" max="5635" width="32.375" style="146" customWidth="1"/>
    <col min="5636" max="5636" width="5.125" style="146" customWidth="1"/>
    <col min="5637" max="5637" width="5" style="146" customWidth="1"/>
    <col min="5638" max="5644" width="5.125" style="146" customWidth="1"/>
    <col min="5645" max="5645" width="5.375" style="146" customWidth="1"/>
    <col min="5646" max="5646" width="5.5" style="146" customWidth="1"/>
    <col min="5647" max="5647" width="6" style="146" customWidth="1"/>
    <col min="5648" max="5648" width="5.875" style="146" customWidth="1"/>
    <col min="5649" max="5649" width="8.25" style="146" customWidth="1"/>
    <col min="5650" max="5650" width="5.625" style="146" customWidth="1"/>
    <col min="5651" max="5653" width="5.125" style="146" customWidth="1"/>
    <col min="5654" max="5654" width="6.5" style="146" customWidth="1"/>
    <col min="5655" max="5655" width="2.875" style="146" customWidth="1"/>
    <col min="5656" max="5656" width="11.5" style="146"/>
    <col min="5657" max="5657" width="10" style="146" customWidth="1"/>
    <col min="5658" max="5658" width="4.75" style="146" customWidth="1"/>
    <col min="5659" max="5659" width="11.5" style="146"/>
    <col min="5660" max="5666" width="10.125" style="146" customWidth="1"/>
    <col min="5667" max="5889" width="11.5" style="146"/>
    <col min="5890" max="5890" width="6.125" style="146" customWidth="1"/>
    <col min="5891" max="5891" width="32.375" style="146" customWidth="1"/>
    <col min="5892" max="5892" width="5.125" style="146" customWidth="1"/>
    <col min="5893" max="5893" width="5" style="146" customWidth="1"/>
    <col min="5894" max="5900" width="5.125" style="146" customWidth="1"/>
    <col min="5901" max="5901" width="5.375" style="146" customWidth="1"/>
    <col min="5902" max="5902" width="5.5" style="146" customWidth="1"/>
    <col min="5903" max="5903" width="6" style="146" customWidth="1"/>
    <col min="5904" max="5904" width="5.875" style="146" customWidth="1"/>
    <col min="5905" max="5905" width="8.25" style="146" customWidth="1"/>
    <col min="5906" max="5906" width="5.625" style="146" customWidth="1"/>
    <col min="5907" max="5909" width="5.125" style="146" customWidth="1"/>
    <col min="5910" max="5910" width="6.5" style="146" customWidth="1"/>
    <col min="5911" max="5911" width="2.875" style="146" customWidth="1"/>
    <col min="5912" max="5912" width="11.5" style="146"/>
    <col min="5913" max="5913" width="10" style="146" customWidth="1"/>
    <col min="5914" max="5914" width="4.75" style="146" customWidth="1"/>
    <col min="5915" max="5915" width="11.5" style="146"/>
    <col min="5916" max="5922" width="10.125" style="146" customWidth="1"/>
    <col min="5923" max="6145" width="11.5" style="146"/>
    <col min="6146" max="6146" width="6.125" style="146" customWidth="1"/>
    <col min="6147" max="6147" width="32.375" style="146" customWidth="1"/>
    <col min="6148" max="6148" width="5.125" style="146" customWidth="1"/>
    <col min="6149" max="6149" width="5" style="146" customWidth="1"/>
    <col min="6150" max="6156" width="5.125" style="146" customWidth="1"/>
    <col min="6157" max="6157" width="5.375" style="146" customWidth="1"/>
    <col min="6158" max="6158" width="5.5" style="146" customWidth="1"/>
    <col min="6159" max="6159" width="6" style="146" customWidth="1"/>
    <col min="6160" max="6160" width="5.875" style="146" customWidth="1"/>
    <col min="6161" max="6161" width="8.25" style="146" customWidth="1"/>
    <col min="6162" max="6162" width="5.625" style="146" customWidth="1"/>
    <col min="6163" max="6165" width="5.125" style="146" customWidth="1"/>
    <col min="6166" max="6166" width="6.5" style="146" customWidth="1"/>
    <col min="6167" max="6167" width="2.875" style="146" customWidth="1"/>
    <col min="6168" max="6168" width="11.5" style="146"/>
    <col min="6169" max="6169" width="10" style="146" customWidth="1"/>
    <col min="6170" max="6170" width="4.75" style="146" customWidth="1"/>
    <col min="6171" max="6171" width="11.5" style="146"/>
    <col min="6172" max="6178" width="10.125" style="146" customWidth="1"/>
    <col min="6179" max="6401" width="11.5" style="146"/>
    <col min="6402" max="6402" width="6.125" style="146" customWidth="1"/>
    <col min="6403" max="6403" width="32.375" style="146" customWidth="1"/>
    <col min="6404" max="6404" width="5.125" style="146" customWidth="1"/>
    <col min="6405" max="6405" width="5" style="146" customWidth="1"/>
    <col min="6406" max="6412" width="5.125" style="146" customWidth="1"/>
    <col min="6413" max="6413" width="5.375" style="146" customWidth="1"/>
    <col min="6414" max="6414" width="5.5" style="146" customWidth="1"/>
    <col min="6415" max="6415" width="6" style="146" customWidth="1"/>
    <col min="6416" max="6416" width="5.875" style="146" customWidth="1"/>
    <col min="6417" max="6417" width="8.25" style="146" customWidth="1"/>
    <col min="6418" max="6418" width="5.625" style="146" customWidth="1"/>
    <col min="6419" max="6421" width="5.125" style="146" customWidth="1"/>
    <col min="6422" max="6422" width="6.5" style="146" customWidth="1"/>
    <col min="6423" max="6423" width="2.875" style="146" customWidth="1"/>
    <col min="6424" max="6424" width="11.5" style="146"/>
    <col min="6425" max="6425" width="10" style="146" customWidth="1"/>
    <col min="6426" max="6426" width="4.75" style="146" customWidth="1"/>
    <col min="6427" max="6427" width="11.5" style="146"/>
    <col min="6428" max="6434" width="10.125" style="146" customWidth="1"/>
    <col min="6435" max="6657" width="11.5" style="146"/>
    <col min="6658" max="6658" width="6.125" style="146" customWidth="1"/>
    <col min="6659" max="6659" width="32.375" style="146" customWidth="1"/>
    <col min="6660" max="6660" width="5.125" style="146" customWidth="1"/>
    <col min="6661" max="6661" width="5" style="146" customWidth="1"/>
    <col min="6662" max="6668" width="5.125" style="146" customWidth="1"/>
    <col min="6669" max="6669" width="5.375" style="146" customWidth="1"/>
    <col min="6670" max="6670" width="5.5" style="146" customWidth="1"/>
    <col min="6671" max="6671" width="6" style="146" customWidth="1"/>
    <col min="6672" max="6672" width="5.875" style="146" customWidth="1"/>
    <col min="6673" max="6673" width="8.25" style="146" customWidth="1"/>
    <col min="6674" max="6674" width="5.625" style="146" customWidth="1"/>
    <col min="6675" max="6677" width="5.125" style="146" customWidth="1"/>
    <col min="6678" max="6678" width="6.5" style="146" customWidth="1"/>
    <col min="6679" max="6679" width="2.875" style="146" customWidth="1"/>
    <col min="6680" max="6680" width="11.5" style="146"/>
    <col min="6681" max="6681" width="10" style="146" customWidth="1"/>
    <col min="6682" max="6682" width="4.75" style="146" customWidth="1"/>
    <col min="6683" max="6683" width="11.5" style="146"/>
    <col min="6684" max="6690" width="10.125" style="146" customWidth="1"/>
    <col min="6691" max="6913" width="11.5" style="146"/>
    <col min="6914" max="6914" width="6.125" style="146" customWidth="1"/>
    <col min="6915" max="6915" width="32.375" style="146" customWidth="1"/>
    <col min="6916" max="6916" width="5.125" style="146" customWidth="1"/>
    <col min="6917" max="6917" width="5" style="146" customWidth="1"/>
    <col min="6918" max="6924" width="5.125" style="146" customWidth="1"/>
    <col min="6925" max="6925" width="5.375" style="146" customWidth="1"/>
    <col min="6926" max="6926" width="5.5" style="146" customWidth="1"/>
    <col min="6927" max="6927" width="6" style="146" customWidth="1"/>
    <col min="6928" max="6928" width="5.875" style="146" customWidth="1"/>
    <col min="6929" max="6929" width="8.25" style="146" customWidth="1"/>
    <col min="6930" max="6930" width="5.625" style="146" customWidth="1"/>
    <col min="6931" max="6933" width="5.125" style="146" customWidth="1"/>
    <col min="6934" max="6934" width="6.5" style="146" customWidth="1"/>
    <col min="6935" max="6935" width="2.875" style="146" customWidth="1"/>
    <col min="6936" max="6936" width="11.5" style="146"/>
    <col min="6937" max="6937" width="10" style="146" customWidth="1"/>
    <col min="6938" max="6938" width="4.75" style="146" customWidth="1"/>
    <col min="6939" max="6939" width="11.5" style="146"/>
    <col min="6940" max="6946" width="10.125" style="146" customWidth="1"/>
    <col min="6947" max="7169" width="11.5" style="146"/>
    <col min="7170" max="7170" width="6.125" style="146" customWidth="1"/>
    <col min="7171" max="7171" width="32.375" style="146" customWidth="1"/>
    <col min="7172" max="7172" width="5.125" style="146" customWidth="1"/>
    <col min="7173" max="7173" width="5" style="146" customWidth="1"/>
    <col min="7174" max="7180" width="5.125" style="146" customWidth="1"/>
    <col min="7181" max="7181" width="5.375" style="146" customWidth="1"/>
    <col min="7182" max="7182" width="5.5" style="146" customWidth="1"/>
    <col min="7183" max="7183" width="6" style="146" customWidth="1"/>
    <col min="7184" max="7184" width="5.875" style="146" customWidth="1"/>
    <col min="7185" max="7185" width="8.25" style="146" customWidth="1"/>
    <col min="7186" max="7186" width="5.625" style="146" customWidth="1"/>
    <col min="7187" max="7189" width="5.125" style="146" customWidth="1"/>
    <col min="7190" max="7190" width="6.5" style="146" customWidth="1"/>
    <col min="7191" max="7191" width="2.875" style="146" customWidth="1"/>
    <col min="7192" max="7192" width="11.5" style="146"/>
    <col min="7193" max="7193" width="10" style="146" customWidth="1"/>
    <col min="7194" max="7194" width="4.75" style="146" customWidth="1"/>
    <col min="7195" max="7195" width="11.5" style="146"/>
    <col min="7196" max="7202" width="10.125" style="146" customWidth="1"/>
    <col min="7203" max="7425" width="11.5" style="146"/>
    <col min="7426" max="7426" width="6.125" style="146" customWidth="1"/>
    <col min="7427" max="7427" width="32.375" style="146" customWidth="1"/>
    <col min="7428" max="7428" width="5.125" style="146" customWidth="1"/>
    <col min="7429" max="7429" width="5" style="146" customWidth="1"/>
    <col min="7430" max="7436" width="5.125" style="146" customWidth="1"/>
    <col min="7437" max="7437" width="5.375" style="146" customWidth="1"/>
    <col min="7438" max="7438" width="5.5" style="146" customWidth="1"/>
    <col min="7439" max="7439" width="6" style="146" customWidth="1"/>
    <col min="7440" max="7440" width="5.875" style="146" customWidth="1"/>
    <col min="7441" max="7441" width="8.25" style="146" customWidth="1"/>
    <col min="7442" max="7442" width="5.625" style="146" customWidth="1"/>
    <col min="7443" max="7445" width="5.125" style="146" customWidth="1"/>
    <col min="7446" max="7446" width="6.5" style="146" customWidth="1"/>
    <col min="7447" max="7447" width="2.875" style="146" customWidth="1"/>
    <col min="7448" max="7448" width="11.5" style="146"/>
    <col min="7449" max="7449" width="10" style="146" customWidth="1"/>
    <col min="7450" max="7450" width="4.75" style="146" customWidth="1"/>
    <col min="7451" max="7451" width="11.5" style="146"/>
    <col min="7452" max="7458" width="10.125" style="146" customWidth="1"/>
    <col min="7459" max="7681" width="11.5" style="146"/>
    <col min="7682" max="7682" width="6.125" style="146" customWidth="1"/>
    <col min="7683" max="7683" width="32.375" style="146" customWidth="1"/>
    <col min="7684" max="7684" width="5.125" style="146" customWidth="1"/>
    <col min="7685" max="7685" width="5" style="146" customWidth="1"/>
    <col min="7686" max="7692" width="5.125" style="146" customWidth="1"/>
    <col min="7693" max="7693" width="5.375" style="146" customWidth="1"/>
    <col min="7694" max="7694" width="5.5" style="146" customWidth="1"/>
    <col min="7695" max="7695" width="6" style="146" customWidth="1"/>
    <col min="7696" max="7696" width="5.875" style="146" customWidth="1"/>
    <col min="7697" max="7697" width="8.25" style="146" customWidth="1"/>
    <col min="7698" max="7698" width="5.625" style="146" customWidth="1"/>
    <col min="7699" max="7701" width="5.125" style="146" customWidth="1"/>
    <col min="7702" max="7702" width="6.5" style="146" customWidth="1"/>
    <col min="7703" max="7703" width="2.875" style="146" customWidth="1"/>
    <col min="7704" max="7704" width="11.5" style="146"/>
    <col min="7705" max="7705" width="10" style="146" customWidth="1"/>
    <col min="7706" max="7706" width="4.75" style="146" customWidth="1"/>
    <col min="7707" max="7707" width="11.5" style="146"/>
    <col min="7708" max="7714" width="10.125" style="146" customWidth="1"/>
    <col min="7715" max="7937" width="11.5" style="146"/>
    <col min="7938" max="7938" width="6.125" style="146" customWidth="1"/>
    <col min="7939" max="7939" width="32.375" style="146" customWidth="1"/>
    <col min="7940" max="7940" width="5.125" style="146" customWidth="1"/>
    <col min="7941" max="7941" width="5" style="146" customWidth="1"/>
    <col min="7942" max="7948" width="5.125" style="146" customWidth="1"/>
    <col min="7949" max="7949" width="5.375" style="146" customWidth="1"/>
    <col min="7950" max="7950" width="5.5" style="146" customWidth="1"/>
    <col min="7951" max="7951" width="6" style="146" customWidth="1"/>
    <col min="7952" max="7952" width="5.875" style="146" customWidth="1"/>
    <col min="7953" max="7953" width="8.25" style="146" customWidth="1"/>
    <col min="7954" max="7954" width="5.625" style="146" customWidth="1"/>
    <col min="7955" max="7957" width="5.125" style="146" customWidth="1"/>
    <col min="7958" max="7958" width="6.5" style="146" customWidth="1"/>
    <col min="7959" max="7959" width="2.875" style="146" customWidth="1"/>
    <col min="7960" max="7960" width="11.5" style="146"/>
    <col min="7961" max="7961" width="10" style="146" customWidth="1"/>
    <col min="7962" max="7962" width="4.75" style="146" customWidth="1"/>
    <col min="7963" max="7963" width="11.5" style="146"/>
    <col min="7964" max="7970" width="10.125" style="146" customWidth="1"/>
    <col min="7971" max="8193" width="11.5" style="146"/>
    <col min="8194" max="8194" width="6.125" style="146" customWidth="1"/>
    <col min="8195" max="8195" width="32.375" style="146" customWidth="1"/>
    <col min="8196" max="8196" width="5.125" style="146" customWidth="1"/>
    <col min="8197" max="8197" width="5" style="146" customWidth="1"/>
    <col min="8198" max="8204" width="5.125" style="146" customWidth="1"/>
    <col min="8205" max="8205" width="5.375" style="146" customWidth="1"/>
    <col min="8206" max="8206" width="5.5" style="146" customWidth="1"/>
    <col min="8207" max="8207" width="6" style="146" customWidth="1"/>
    <col min="8208" max="8208" width="5.875" style="146" customWidth="1"/>
    <col min="8209" max="8209" width="8.25" style="146" customWidth="1"/>
    <col min="8210" max="8210" width="5.625" style="146" customWidth="1"/>
    <col min="8211" max="8213" width="5.125" style="146" customWidth="1"/>
    <col min="8214" max="8214" width="6.5" style="146" customWidth="1"/>
    <col min="8215" max="8215" width="2.875" style="146" customWidth="1"/>
    <col min="8216" max="8216" width="11.5" style="146"/>
    <col min="8217" max="8217" width="10" style="146" customWidth="1"/>
    <col min="8218" max="8218" width="4.75" style="146" customWidth="1"/>
    <col min="8219" max="8219" width="11.5" style="146"/>
    <col min="8220" max="8226" width="10.125" style="146" customWidth="1"/>
    <col min="8227" max="8449" width="11.5" style="146"/>
    <col min="8450" max="8450" width="6.125" style="146" customWidth="1"/>
    <col min="8451" max="8451" width="32.375" style="146" customWidth="1"/>
    <col min="8452" max="8452" width="5.125" style="146" customWidth="1"/>
    <col min="8453" max="8453" width="5" style="146" customWidth="1"/>
    <col min="8454" max="8460" width="5.125" style="146" customWidth="1"/>
    <col min="8461" max="8461" width="5.375" style="146" customWidth="1"/>
    <col min="8462" max="8462" width="5.5" style="146" customWidth="1"/>
    <col min="8463" max="8463" width="6" style="146" customWidth="1"/>
    <col min="8464" max="8464" width="5.875" style="146" customWidth="1"/>
    <col min="8465" max="8465" width="8.25" style="146" customWidth="1"/>
    <col min="8466" max="8466" width="5.625" style="146" customWidth="1"/>
    <col min="8467" max="8469" width="5.125" style="146" customWidth="1"/>
    <col min="8470" max="8470" width="6.5" style="146" customWidth="1"/>
    <col min="8471" max="8471" width="2.875" style="146" customWidth="1"/>
    <col min="8472" max="8472" width="11.5" style="146"/>
    <col min="8473" max="8473" width="10" style="146" customWidth="1"/>
    <col min="8474" max="8474" width="4.75" style="146" customWidth="1"/>
    <col min="8475" max="8475" width="11.5" style="146"/>
    <col min="8476" max="8482" width="10.125" style="146" customWidth="1"/>
    <col min="8483" max="8705" width="11.5" style="146"/>
    <col min="8706" max="8706" width="6.125" style="146" customWidth="1"/>
    <col min="8707" max="8707" width="32.375" style="146" customWidth="1"/>
    <col min="8708" max="8708" width="5.125" style="146" customWidth="1"/>
    <col min="8709" max="8709" width="5" style="146" customWidth="1"/>
    <col min="8710" max="8716" width="5.125" style="146" customWidth="1"/>
    <col min="8717" max="8717" width="5.375" style="146" customWidth="1"/>
    <col min="8718" max="8718" width="5.5" style="146" customWidth="1"/>
    <col min="8719" max="8719" width="6" style="146" customWidth="1"/>
    <col min="8720" max="8720" width="5.875" style="146" customWidth="1"/>
    <col min="8721" max="8721" width="8.25" style="146" customWidth="1"/>
    <col min="8722" max="8722" width="5.625" style="146" customWidth="1"/>
    <col min="8723" max="8725" width="5.125" style="146" customWidth="1"/>
    <col min="8726" max="8726" width="6.5" style="146" customWidth="1"/>
    <col min="8727" max="8727" width="2.875" style="146" customWidth="1"/>
    <col min="8728" max="8728" width="11.5" style="146"/>
    <col min="8729" max="8729" width="10" style="146" customWidth="1"/>
    <col min="8730" max="8730" width="4.75" style="146" customWidth="1"/>
    <col min="8731" max="8731" width="11.5" style="146"/>
    <col min="8732" max="8738" width="10.125" style="146" customWidth="1"/>
    <col min="8739" max="8961" width="11.5" style="146"/>
    <col min="8962" max="8962" width="6.125" style="146" customWidth="1"/>
    <col min="8963" max="8963" width="32.375" style="146" customWidth="1"/>
    <col min="8964" max="8964" width="5.125" style="146" customWidth="1"/>
    <col min="8965" max="8965" width="5" style="146" customWidth="1"/>
    <col min="8966" max="8972" width="5.125" style="146" customWidth="1"/>
    <col min="8973" max="8973" width="5.375" style="146" customWidth="1"/>
    <col min="8974" max="8974" width="5.5" style="146" customWidth="1"/>
    <col min="8975" max="8975" width="6" style="146" customWidth="1"/>
    <col min="8976" max="8976" width="5.875" style="146" customWidth="1"/>
    <col min="8977" max="8977" width="8.25" style="146" customWidth="1"/>
    <col min="8978" max="8978" width="5.625" style="146" customWidth="1"/>
    <col min="8979" max="8981" width="5.125" style="146" customWidth="1"/>
    <col min="8982" max="8982" width="6.5" style="146" customWidth="1"/>
    <col min="8983" max="8983" width="2.875" style="146" customWidth="1"/>
    <col min="8984" max="8984" width="11.5" style="146"/>
    <col min="8985" max="8985" width="10" style="146" customWidth="1"/>
    <col min="8986" max="8986" width="4.75" style="146" customWidth="1"/>
    <col min="8987" max="8987" width="11.5" style="146"/>
    <col min="8988" max="8994" width="10.125" style="146" customWidth="1"/>
    <col min="8995" max="9217" width="11.5" style="146"/>
    <col min="9218" max="9218" width="6.125" style="146" customWidth="1"/>
    <col min="9219" max="9219" width="32.375" style="146" customWidth="1"/>
    <col min="9220" max="9220" width="5.125" style="146" customWidth="1"/>
    <col min="9221" max="9221" width="5" style="146" customWidth="1"/>
    <col min="9222" max="9228" width="5.125" style="146" customWidth="1"/>
    <col min="9229" max="9229" width="5.375" style="146" customWidth="1"/>
    <col min="9230" max="9230" width="5.5" style="146" customWidth="1"/>
    <col min="9231" max="9231" width="6" style="146" customWidth="1"/>
    <col min="9232" max="9232" width="5.875" style="146" customWidth="1"/>
    <col min="9233" max="9233" width="8.25" style="146" customWidth="1"/>
    <col min="9234" max="9234" width="5.625" style="146" customWidth="1"/>
    <col min="9235" max="9237" width="5.125" style="146" customWidth="1"/>
    <col min="9238" max="9238" width="6.5" style="146" customWidth="1"/>
    <col min="9239" max="9239" width="2.875" style="146" customWidth="1"/>
    <col min="9240" max="9240" width="11.5" style="146"/>
    <col min="9241" max="9241" width="10" style="146" customWidth="1"/>
    <col min="9242" max="9242" width="4.75" style="146" customWidth="1"/>
    <col min="9243" max="9243" width="11.5" style="146"/>
    <col min="9244" max="9250" width="10.125" style="146" customWidth="1"/>
    <col min="9251" max="9473" width="11.5" style="146"/>
    <col min="9474" max="9474" width="6.125" style="146" customWidth="1"/>
    <col min="9475" max="9475" width="32.375" style="146" customWidth="1"/>
    <col min="9476" max="9476" width="5.125" style="146" customWidth="1"/>
    <col min="9477" max="9477" width="5" style="146" customWidth="1"/>
    <col min="9478" max="9484" width="5.125" style="146" customWidth="1"/>
    <col min="9485" max="9485" width="5.375" style="146" customWidth="1"/>
    <col min="9486" max="9486" width="5.5" style="146" customWidth="1"/>
    <col min="9487" max="9487" width="6" style="146" customWidth="1"/>
    <col min="9488" max="9488" width="5.875" style="146" customWidth="1"/>
    <col min="9489" max="9489" width="8.25" style="146" customWidth="1"/>
    <col min="9490" max="9490" width="5.625" style="146" customWidth="1"/>
    <col min="9491" max="9493" width="5.125" style="146" customWidth="1"/>
    <col min="9494" max="9494" width="6.5" style="146" customWidth="1"/>
    <col min="9495" max="9495" width="2.875" style="146" customWidth="1"/>
    <col min="9496" max="9496" width="11.5" style="146"/>
    <col min="9497" max="9497" width="10" style="146" customWidth="1"/>
    <col min="9498" max="9498" width="4.75" style="146" customWidth="1"/>
    <col min="9499" max="9499" width="11.5" style="146"/>
    <col min="9500" max="9506" width="10.125" style="146" customWidth="1"/>
    <col min="9507" max="9729" width="11.5" style="146"/>
    <col min="9730" max="9730" width="6.125" style="146" customWidth="1"/>
    <col min="9731" max="9731" width="32.375" style="146" customWidth="1"/>
    <col min="9732" max="9732" width="5.125" style="146" customWidth="1"/>
    <col min="9733" max="9733" width="5" style="146" customWidth="1"/>
    <col min="9734" max="9740" width="5.125" style="146" customWidth="1"/>
    <col min="9741" max="9741" width="5.375" style="146" customWidth="1"/>
    <col min="9742" max="9742" width="5.5" style="146" customWidth="1"/>
    <col min="9743" max="9743" width="6" style="146" customWidth="1"/>
    <col min="9744" max="9744" width="5.875" style="146" customWidth="1"/>
    <col min="9745" max="9745" width="8.25" style="146" customWidth="1"/>
    <col min="9746" max="9746" width="5.625" style="146" customWidth="1"/>
    <col min="9747" max="9749" width="5.125" style="146" customWidth="1"/>
    <col min="9750" max="9750" width="6.5" style="146" customWidth="1"/>
    <col min="9751" max="9751" width="2.875" style="146" customWidth="1"/>
    <col min="9752" max="9752" width="11.5" style="146"/>
    <col min="9753" max="9753" width="10" style="146" customWidth="1"/>
    <col min="9754" max="9754" width="4.75" style="146" customWidth="1"/>
    <col min="9755" max="9755" width="11.5" style="146"/>
    <col min="9756" max="9762" width="10.125" style="146" customWidth="1"/>
    <col min="9763" max="9985" width="11.5" style="146"/>
    <col min="9986" max="9986" width="6.125" style="146" customWidth="1"/>
    <col min="9987" max="9987" width="32.375" style="146" customWidth="1"/>
    <col min="9988" max="9988" width="5.125" style="146" customWidth="1"/>
    <col min="9989" max="9989" width="5" style="146" customWidth="1"/>
    <col min="9990" max="9996" width="5.125" style="146" customWidth="1"/>
    <col min="9997" max="9997" width="5.375" style="146" customWidth="1"/>
    <col min="9998" max="9998" width="5.5" style="146" customWidth="1"/>
    <col min="9999" max="9999" width="6" style="146" customWidth="1"/>
    <col min="10000" max="10000" width="5.875" style="146" customWidth="1"/>
    <col min="10001" max="10001" width="8.25" style="146" customWidth="1"/>
    <col min="10002" max="10002" width="5.625" style="146" customWidth="1"/>
    <col min="10003" max="10005" width="5.125" style="146" customWidth="1"/>
    <col min="10006" max="10006" width="6.5" style="146" customWidth="1"/>
    <col min="10007" max="10007" width="2.875" style="146" customWidth="1"/>
    <col min="10008" max="10008" width="11.5" style="146"/>
    <col min="10009" max="10009" width="10" style="146" customWidth="1"/>
    <col min="10010" max="10010" width="4.75" style="146" customWidth="1"/>
    <col min="10011" max="10011" width="11.5" style="146"/>
    <col min="10012" max="10018" width="10.125" style="146" customWidth="1"/>
    <col min="10019" max="10241" width="11.5" style="146"/>
    <col min="10242" max="10242" width="6.125" style="146" customWidth="1"/>
    <col min="10243" max="10243" width="32.375" style="146" customWidth="1"/>
    <col min="10244" max="10244" width="5.125" style="146" customWidth="1"/>
    <col min="10245" max="10245" width="5" style="146" customWidth="1"/>
    <col min="10246" max="10252" width="5.125" style="146" customWidth="1"/>
    <col min="10253" max="10253" width="5.375" style="146" customWidth="1"/>
    <col min="10254" max="10254" width="5.5" style="146" customWidth="1"/>
    <col min="10255" max="10255" width="6" style="146" customWidth="1"/>
    <col min="10256" max="10256" width="5.875" style="146" customWidth="1"/>
    <col min="10257" max="10257" width="8.25" style="146" customWidth="1"/>
    <col min="10258" max="10258" width="5.625" style="146" customWidth="1"/>
    <col min="10259" max="10261" width="5.125" style="146" customWidth="1"/>
    <col min="10262" max="10262" width="6.5" style="146" customWidth="1"/>
    <col min="10263" max="10263" width="2.875" style="146" customWidth="1"/>
    <col min="10264" max="10264" width="11.5" style="146"/>
    <col min="10265" max="10265" width="10" style="146" customWidth="1"/>
    <col min="10266" max="10266" width="4.75" style="146" customWidth="1"/>
    <col min="10267" max="10267" width="11.5" style="146"/>
    <col min="10268" max="10274" width="10.125" style="146" customWidth="1"/>
    <col min="10275" max="10497" width="11.5" style="146"/>
    <col min="10498" max="10498" width="6.125" style="146" customWidth="1"/>
    <col min="10499" max="10499" width="32.375" style="146" customWidth="1"/>
    <col min="10500" max="10500" width="5.125" style="146" customWidth="1"/>
    <col min="10501" max="10501" width="5" style="146" customWidth="1"/>
    <col min="10502" max="10508" width="5.125" style="146" customWidth="1"/>
    <col min="10509" max="10509" width="5.375" style="146" customWidth="1"/>
    <col min="10510" max="10510" width="5.5" style="146" customWidth="1"/>
    <col min="10511" max="10511" width="6" style="146" customWidth="1"/>
    <col min="10512" max="10512" width="5.875" style="146" customWidth="1"/>
    <col min="10513" max="10513" width="8.25" style="146" customWidth="1"/>
    <col min="10514" max="10514" width="5.625" style="146" customWidth="1"/>
    <col min="10515" max="10517" width="5.125" style="146" customWidth="1"/>
    <col min="10518" max="10518" width="6.5" style="146" customWidth="1"/>
    <col min="10519" max="10519" width="2.875" style="146" customWidth="1"/>
    <col min="10520" max="10520" width="11.5" style="146"/>
    <col min="10521" max="10521" width="10" style="146" customWidth="1"/>
    <col min="10522" max="10522" width="4.75" style="146" customWidth="1"/>
    <col min="10523" max="10523" width="11.5" style="146"/>
    <col min="10524" max="10530" width="10.125" style="146" customWidth="1"/>
    <col min="10531" max="10753" width="11.5" style="146"/>
    <col min="10754" max="10754" width="6.125" style="146" customWidth="1"/>
    <col min="10755" max="10755" width="32.375" style="146" customWidth="1"/>
    <col min="10756" max="10756" width="5.125" style="146" customWidth="1"/>
    <col min="10757" max="10757" width="5" style="146" customWidth="1"/>
    <col min="10758" max="10764" width="5.125" style="146" customWidth="1"/>
    <col min="10765" max="10765" width="5.375" style="146" customWidth="1"/>
    <col min="10766" max="10766" width="5.5" style="146" customWidth="1"/>
    <col min="10767" max="10767" width="6" style="146" customWidth="1"/>
    <col min="10768" max="10768" width="5.875" style="146" customWidth="1"/>
    <col min="10769" max="10769" width="8.25" style="146" customWidth="1"/>
    <col min="10770" max="10770" width="5.625" style="146" customWidth="1"/>
    <col min="10771" max="10773" width="5.125" style="146" customWidth="1"/>
    <col min="10774" max="10774" width="6.5" style="146" customWidth="1"/>
    <col min="10775" max="10775" width="2.875" style="146" customWidth="1"/>
    <col min="10776" max="10776" width="11.5" style="146"/>
    <col min="10777" max="10777" width="10" style="146" customWidth="1"/>
    <col min="10778" max="10778" width="4.75" style="146" customWidth="1"/>
    <col min="10779" max="10779" width="11.5" style="146"/>
    <col min="10780" max="10786" width="10.125" style="146" customWidth="1"/>
    <col min="10787" max="11009" width="11.5" style="146"/>
    <col min="11010" max="11010" width="6.125" style="146" customWidth="1"/>
    <col min="11011" max="11011" width="32.375" style="146" customWidth="1"/>
    <col min="11012" max="11012" width="5.125" style="146" customWidth="1"/>
    <col min="11013" max="11013" width="5" style="146" customWidth="1"/>
    <col min="11014" max="11020" width="5.125" style="146" customWidth="1"/>
    <col min="11021" max="11021" width="5.375" style="146" customWidth="1"/>
    <col min="11022" max="11022" width="5.5" style="146" customWidth="1"/>
    <col min="11023" max="11023" width="6" style="146" customWidth="1"/>
    <col min="11024" max="11024" width="5.875" style="146" customWidth="1"/>
    <col min="11025" max="11025" width="8.25" style="146" customWidth="1"/>
    <col min="11026" max="11026" width="5.625" style="146" customWidth="1"/>
    <col min="11027" max="11029" width="5.125" style="146" customWidth="1"/>
    <col min="11030" max="11030" width="6.5" style="146" customWidth="1"/>
    <col min="11031" max="11031" width="2.875" style="146" customWidth="1"/>
    <col min="11032" max="11032" width="11.5" style="146"/>
    <col min="11033" max="11033" width="10" style="146" customWidth="1"/>
    <col min="11034" max="11034" width="4.75" style="146" customWidth="1"/>
    <col min="11035" max="11035" width="11.5" style="146"/>
    <col min="11036" max="11042" width="10.125" style="146" customWidth="1"/>
    <col min="11043" max="11265" width="11.5" style="146"/>
    <col min="11266" max="11266" width="6.125" style="146" customWidth="1"/>
    <col min="11267" max="11267" width="32.375" style="146" customWidth="1"/>
    <col min="11268" max="11268" width="5.125" style="146" customWidth="1"/>
    <col min="11269" max="11269" width="5" style="146" customWidth="1"/>
    <col min="11270" max="11276" width="5.125" style="146" customWidth="1"/>
    <col min="11277" max="11277" width="5.375" style="146" customWidth="1"/>
    <col min="11278" max="11278" width="5.5" style="146" customWidth="1"/>
    <col min="11279" max="11279" width="6" style="146" customWidth="1"/>
    <col min="11280" max="11280" width="5.875" style="146" customWidth="1"/>
    <col min="11281" max="11281" width="8.25" style="146" customWidth="1"/>
    <col min="11282" max="11282" width="5.625" style="146" customWidth="1"/>
    <col min="11283" max="11285" width="5.125" style="146" customWidth="1"/>
    <col min="11286" max="11286" width="6.5" style="146" customWidth="1"/>
    <col min="11287" max="11287" width="2.875" style="146" customWidth="1"/>
    <col min="11288" max="11288" width="11.5" style="146"/>
    <col min="11289" max="11289" width="10" style="146" customWidth="1"/>
    <col min="11290" max="11290" width="4.75" style="146" customWidth="1"/>
    <col min="11291" max="11291" width="11.5" style="146"/>
    <col min="11292" max="11298" width="10.125" style="146" customWidth="1"/>
    <col min="11299" max="11521" width="11.5" style="146"/>
    <col min="11522" max="11522" width="6.125" style="146" customWidth="1"/>
    <col min="11523" max="11523" width="32.375" style="146" customWidth="1"/>
    <col min="11524" max="11524" width="5.125" style="146" customWidth="1"/>
    <col min="11525" max="11525" width="5" style="146" customWidth="1"/>
    <col min="11526" max="11532" width="5.125" style="146" customWidth="1"/>
    <col min="11533" max="11533" width="5.375" style="146" customWidth="1"/>
    <col min="11534" max="11534" width="5.5" style="146" customWidth="1"/>
    <col min="11535" max="11535" width="6" style="146" customWidth="1"/>
    <col min="11536" max="11536" width="5.875" style="146" customWidth="1"/>
    <col min="11537" max="11537" width="8.25" style="146" customWidth="1"/>
    <col min="11538" max="11538" width="5.625" style="146" customWidth="1"/>
    <col min="11539" max="11541" width="5.125" style="146" customWidth="1"/>
    <col min="11542" max="11542" width="6.5" style="146" customWidth="1"/>
    <col min="11543" max="11543" width="2.875" style="146" customWidth="1"/>
    <col min="11544" max="11544" width="11.5" style="146"/>
    <col min="11545" max="11545" width="10" style="146" customWidth="1"/>
    <col min="11546" max="11546" width="4.75" style="146" customWidth="1"/>
    <col min="11547" max="11547" width="11.5" style="146"/>
    <col min="11548" max="11554" width="10.125" style="146" customWidth="1"/>
    <col min="11555" max="11777" width="11.5" style="146"/>
    <col min="11778" max="11778" width="6.125" style="146" customWidth="1"/>
    <col min="11779" max="11779" width="32.375" style="146" customWidth="1"/>
    <col min="11780" max="11780" width="5.125" style="146" customWidth="1"/>
    <col min="11781" max="11781" width="5" style="146" customWidth="1"/>
    <col min="11782" max="11788" width="5.125" style="146" customWidth="1"/>
    <col min="11789" max="11789" width="5.375" style="146" customWidth="1"/>
    <col min="11790" max="11790" width="5.5" style="146" customWidth="1"/>
    <col min="11791" max="11791" width="6" style="146" customWidth="1"/>
    <col min="11792" max="11792" width="5.875" style="146" customWidth="1"/>
    <col min="11793" max="11793" width="8.25" style="146" customWidth="1"/>
    <col min="11794" max="11794" width="5.625" style="146" customWidth="1"/>
    <col min="11795" max="11797" width="5.125" style="146" customWidth="1"/>
    <col min="11798" max="11798" width="6.5" style="146" customWidth="1"/>
    <col min="11799" max="11799" width="2.875" style="146" customWidth="1"/>
    <col min="11800" max="11800" width="11.5" style="146"/>
    <col min="11801" max="11801" width="10" style="146" customWidth="1"/>
    <col min="11802" max="11802" width="4.75" style="146" customWidth="1"/>
    <col min="11803" max="11803" width="11.5" style="146"/>
    <col min="11804" max="11810" width="10.125" style="146" customWidth="1"/>
    <col min="11811" max="12033" width="11.5" style="146"/>
    <col min="12034" max="12034" width="6.125" style="146" customWidth="1"/>
    <col min="12035" max="12035" width="32.375" style="146" customWidth="1"/>
    <col min="12036" max="12036" width="5.125" style="146" customWidth="1"/>
    <col min="12037" max="12037" width="5" style="146" customWidth="1"/>
    <col min="12038" max="12044" width="5.125" style="146" customWidth="1"/>
    <col min="12045" max="12045" width="5.375" style="146" customWidth="1"/>
    <col min="12046" max="12046" width="5.5" style="146" customWidth="1"/>
    <col min="12047" max="12047" width="6" style="146" customWidth="1"/>
    <col min="12048" max="12048" width="5.875" style="146" customWidth="1"/>
    <col min="12049" max="12049" width="8.25" style="146" customWidth="1"/>
    <col min="12050" max="12050" width="5.625" style="146" customWidth="1"/>
    <col min="12051" max="12053" width="5.125" style="146" customWidth="1"/>
    <col min="12054" max="12054" width="6.5" style="146" customWidth="1"/>
    <col min="12055" max="12055" width="2.875" style="146" customWidth="1"/>
    <col min="12056" max="12056" width="11.5" style="146"/>
    <col min="12057" max="12057" width="10" style="146" customWidth="1"/>
    <col min="12058" max="12058" width="4.75" style="146" customWidth="1"/>
    <col min="12059" max="12059" width="11.5" style="146"/>
    <col min="12060" max="12066" width="10.125" style="146" customWidth="1"/>
    <col min="12067" max="12289" width="11.5" style="146"/>
    <col min="12290" max="12290" width="6.125" style="146" customWidth="1"/>
    <col min="12291" max="12291" width="32.375" style="146" customWidth="1"/>
    <col min="12292" max="12292" width="5.125" style="146" customWidth="1"/>
    <col min="12293" max="12293" width="5" style="146" customWidth="1"/>
    <col min="12294" max="12300" width="5.125" style="146" customWidth="1"/>
    <col min="12301" max="12301" width="5.375" style="146" customWidth="1"/>
    <col min="12302" max="12302" width="5.5" style="146" customWidth="1"/>
    <col min="12303" max="12303" width="6" style="146" customWidth="1"/>
    <col min="12304" max="12304" width="5.875" style="146" customWidth="1"/>
    <col min="12305" max="12305" width="8.25" style="146" customWidth="1"/>
    <col min="12306" max="12306" width="5.625" style="146" customWidth="1"/>
    <col min="12307" max="12309" width="5.125" style="146" customWidth="1"/>
    <col min="12310" max="12310" width="6.5" style="146" customWidth="1"/>
    <col min="12311" max="12311" width="2.875" style="146" customWidth="1"/>
    <col min="12312" max="12312" width="11.5" style="146"/>
    <col min="12313" max="12313" width="10" style="146" customWidth="1"/>
    <col min="12314" max="12314" width="4.75" style="146" customWidth="1"/>
    <col min="12315" max="12315" width="11.5" style="146"/>
    <col min="12316" max="12322" width="10.125" style="146" customWidth="1"/>
    <col min="12323" max="12545" width="11.5" style="146"/>
    <col min="12546" max="12546" width="6.125" style="146" customWidth="1"/>
    <col min="12547" max="12547" width="32.375" style="146" customWidth="1"/>
    <col min="12548" max="12548" width="5.125" style="146" customWidth="1"/>
    <col min="12549" max="12549" width="5" style="146" customWidth="1"/>
    <col min="12550" max="12556" width="5.125" style="146" customWidth="1"/>
    <col min="12557" max="12557" width="5.375" style="146" customWidth="1"/>
    <col min="12558" max="12558" width="5.5" style="146" customWidth="1"/>
    <col min="12559" max="12559" width="6" style="146" customWidth="1"/>
    <col min="12560" max="12560" width="5.875" style="146" customWidth="1"/>
    <col min="12561" max="12561" width="8.25" style="146" customWidth="1"/>
    <col min="12562" max="12562" width="5.625" style="146" customWidth="1"/>
    <col min="12563" max="12565" width="5.125" style="146" customWidth="1"/>
    <col min="12566" max="12566" width="6.5" style="146" customWidth="1"/>
    <col min="12567" max="12567" width="2.875" style="146" customWidth="1"/>
    <col min="12568" max="12568" width="11.5" style="146"/>
    <col min="12569" max="12569" width="10" style="146" customWidth="1"/>
    <col min="12570" max="12570" width="4.75" style="146" customWidth="1"/>
    <col min="12571" max="12571" width="11.5" style="146"/>
    <col min="12572" max="12578" width="10.125" style="146" customWidth="1"/>
    <col min="12579" max="12801" width="11.5" style="146"/>
    <col min="12802" max="12802" width="6.125" style="146" customWidth="1"/>
    <col min="12803" max="12803" width="32.375" style="146" customWidth="1"/>
    <col min="12804" max="12804" width="5.125" style="146" customWidth="1"/>
    <col min="12805" max="12805" width="5" style="146" customWidth="1"/>
    <col min="12806" max="12812" width="5.125" style="146" customWidth="1"/>
    <col min="12813" max="12813" width="5.375" style="146" customWidth="1"/>
    <col min="12814" max="12814" width="5.5" style="146" customWidth="1"/>
    <col min="12815" max="12815" width="6" style="146" customWidth="1"/>
    <col min="12816" max="12816" width="5.875" style="146" customWidth="1"/>
    <col min="12817" max="12817" width="8.25" style="146" customWidth="1"/>
    <col min="12818" max="12818" width="5.625" style="146" customWidth="1"/>
    <col min="12819" max="12821" width="5.125" style="146" customWidth="1"/>
    <col min="12822" max="12822" width="6.5" style="146" customWidth="1"/>
    <col min="12823" max="12823" width="2.875" style="146" customWidth="1"/>
    <col min="12824" max="12824" width="11.5" style="146"/>
    <col min="12825" max="12825" width="10" style="146" customWidth="1"/>
    <col min="12826" max="12826" width="4.75" style="146" customWidth="1"/>
    <col min="12827" max="12827" width="11.5" style="146"/>
    <col min="12828" max="12834" width="10.125" style="146" customWidth="1"/>
    <col min="12835" max="13057" width="11.5" style="146"/>
    <col min="13058" max="13058" width="6.125" style="146" customWidth="1"/>
    <col min="13059" max="13059" width="32.375" style="146" customWidth="1"/>
    <col min="13060" max="13060" width="5.125" style="146" customWidth="1"/>
    <col min="13061" max="13061" width="5" style="146" customWidth="1"/>
    <col min="13062" max="13068" width="5.125" style="146" customWidth="1"/>
    <col min="13069" max="13069" width="5.375" style="146" customWidth="1"/>
    <col min="13070" max="13070" width="5.5" style="146" customWidth="1"/>
    <col min="13071" max="13071" width="6" style="146" customWidth="1"/>
    <col min="13072" max="13072" width="5.875" style="146" customWidth="1"/>
    <col min="13073" max="13073" width="8.25" style="146" customWidth="1"/>
    <col min="13074" max="13074" width="5.625" style="146" customWidth="1"/>
    <col min="13075" max="13077" width="5.125" style="146" customWidth="1"/>
    <col min="13078" max="13078" width="6.5" style="146" customWidth="1"/>
    <col min="13079" max="13079" width="2.875" style="146" customWidth="1"/>
    <col min="13080" max="13080" width="11.5" style="146"/>
    <col min="13081" max="13081" width="10" style="146" customWidth="1"/>
    <col min="13082" max="13082" width="4.75" style="146" customWidth="1"/>
    <col min="13083" max="13083" width="11.5" style="146"/>
    <col min="13084" max="13090" width="10.125" style="146" customWidth="1"/>
    <col min="13091" max="13313" width="11.5" style="146"/>
    <col min="13314" max="13314" width="6.125" style="146" customWidth="1"/>
    <col min="13315" max="13315" width="32.375" style="146" customWidth="1"/>
    <col min="13316" max="13316" width="5.125" style="146" customWidth="1"/>
    <col min="13317" max="13317" width="5" style="146" customWidth="1"/>
    <col min="13318" max="13324" width="5.125" style="146" customWidth="1"/>
    <col min="13325" max="13325" width="5.375" style="146" customWidth="1"/>
    <col min="13326" max="13326" width="5.5" style="146" customWidth="1"/>
    <col min="13327" max="13327" width="6" style="146" customWidth="1"/>
    <col min="13328" max="13328" width="5.875" style="146" customWidth="1"/>
    <col min="13329" max="13329" width="8.25" style="146" customWidth="1"/>
    <col min="13330" max="13330" width="5.625" style="146" customWidth="1"/>
    <col min="13331" max="13333" width="5.125" style="146" customWidth="1"/>
    <col min="13334" max="13334" width="6.5" style="146" customWidth="1"/>
    <col min="13335" max="13335" width="2.875" style="146" customWidth="1"/>
    <col min="13336" max="13336" width="11.5" style="146"/>
    <col min="13337" max="13337" width="10" style="146" customWidth="1"/>
    <col min="13338" max="13338" width="4.75" style="146" customWidth="1"/>
    <col min="13339" max="13339" width="11.5" style="146"/>
    <col min="13340" max="13346" width="10.125" style="146" customWidth="1"/>
    <col min="13347" max="13569" width="11.5" style="146"/>
    <col min="13570" max="13570" width="6.125" style="146" customWidth="1"/>
    <col min="13571" max="13571" width="32.375" style="146" customWidth="1"/>
    <col min="13572" max="13572" width="5.125" style="146" customWidth="1"/>
    <col min="13573" max="13573" width="5" style="146" customWidth="1"/>
    <col min="13574" max="13580" width="5.125" style="146" customWidth="1"/>
    <col min="13581" max="13581" width="5.375" style="146" customWidth="1"/>
    <col min="13582" max="13582" width="5.5" style="146" customWidth="1"/>
    <col min="13583" max="13583" width="6" style="146" customWidth="1"/>
    <col min="13584" max="13584" width="5.875" style="146" customWidth="1"/>
    <col min="13585" max="13585" width="8.25" style="146" customWidth="1"/>
    <col min="13586" max="13586" width="5.625" style="146" customWidth="1"/>
    <col min="13587" max="13589" width="5.125" style="146" customWidth="1"/>
    <col min="13590" max="13590" width="6.5" style="146" customWidth="1"/>
    <col min="13591" max="13591" width="2.875" style="146" customWidth="1"/>
    <col min="13592" max="13592" width="11.5" style="146"/>
    <col min="13593" max="13593" width="10" style="146" customWidth="1"/>
    <col min="13594" max="13594" width="4.75" style="146" customWidth="1"/>
    <col min="13595" max="13595" width="11.5" style="146"/>
    <col min="13596" max="13602" width="10.125" style="146" customWidth="1"/>
    <col min="13603" max="13825" width="11.5" style="146"/>
    <col min="13826" max="13826" width="6.125" style="146" customWidth="1"/>
    <col min="13827" max="13827" width="32.375" style="146" customWidth="1"/>
    <col min="13828" max="13828" width="5.125" style="146" customWidth="1"/>
    <col min="13829" max="13829" width="5" style="146" customWidth="1"/>
    <col min="13830" max="13836" width="5.125" style="146" customWidth="1"/>
    <col min="13837" max="13837" width="5.375" style="146" customWidth="1"/>
    <col min="13838" max="13838" width="5.5" style="146" customWidth="1"/>
    <col min="13839" max="13839" width="6" style="146" customWidth="1"/>
    <col min="13840" max="13840" width="5.875" style="146" customWidth="1"/>
    <col min="13841" max="13841" width="8.25" style="146" customWidth="1"/>
    <col min="13842" max="13842" width="5.625" style="146" customWidth="1"/>
    <col min="13843" max="13845" width="5.125" style="146" customWidth="1"/>
    <col min="13846" max="13846" width="6.5" style="146" customWidth="1"/>
    <col min="13847" max="13847" width="2.875" style="146" customWidth="1"/>
    <col min="13848" max="13848" width="11.5" style="146"/>
    <col min="13849" max="13849" width="10" style="146" customWidth="1"/>
    <col min="13850" max="13850" width="4.75" style="146" customWidth="1"/>
    <col min="13851" max="13851" width="11.5" style="146"/>
    <col min="13852" max="13858" width="10.125" style="146" customWidth="1"/>
    <col min="13859" max="14081" width="11.5" style="146"/>
    <col min="14082" max="14082" width="6.125" style="146" customWidth="1"/>
    <col min="14083" max="14083" width="32.375" style="146" customWidth="1"/>
    <col min="14084" max="14084" width="5.125" style="146" customWidth="1"/>
    <col min="14085" max="14085" width="5" style="146" customWidth="1"/>
    <col min="14086" max="14092" width="5.125" style="146" customWidth="1"/>
    <col min="14093" max="14093" width="5.375" style="146" customWidth="1"/>
    <col min="14094" max="14094" width="5.5" style="146" customWidth="1"/>
    <col min="14095" max="14095" width="6" style="146" customWidth="1"/>
    <col min="14096" max="14096" width="5.875" style="146" customWidth="1"/>
    <col min="14097" max="14097" width="8.25" style="146" customWidth="1"/>
    <col min="14098" max="14098" width="5.625" style="146" customWidth="1"/>
    <col min="14099" max="14101" width="5.125" style="146" customWidth="1"/>
    <col min="14102" max="14102" width="6.5" style="146" customWidth="1"/>
    <col min="14103" max="14103" width="2.875" style="146" customWidth="1"/>
    <col min="14104" max="14104" width="11.5" style="146"/>
    <col min="14105" max="14105" width="10" style="146" customWidth="1"/>
    <col min="14106" max="14106" width="4.75" style="146" customWidth="1"/>
    <col min="14107" max="14107" width="11.5" style="146"/>
    <col min="14108" max="14114" width="10.125" style="146" customWidth="1"/>
    <col min="14115" max="14337" width="11.5" style="146"/>
    <col min="14338" max="14338" width="6.125" style="146" customWidth="1"/>
    <col min="14339" max="14339" width="32.375" style="146" customWidth="1"/>
    <col min="14340" max="14340" width="5.125" style="146" customWidth="1"/>
    <col min="14341" max="14341" width="5" style="146" customWidth="1"/>
    <col min="14342" max="14348" width="5.125" style="146" customWidth="1"/>
    <col min="14349" max="14349" width="5.375" style="146" customWidth="1"/>
    <col min="14350" max="14350" width="5.5" style="146" customWidth="1"/>
    <col min="14351" max="14351" width="6" style="146" customWidth="1"/>
    <col min="14352" max="14352" width="5.875" style="146" customWidth="1"/>
    <col min="14353" max="14353" width="8.25" style="146" customWidth="1"/>
    <col min="14354" max="14354" width="5.625" style="146" customWidth="1"/>
    <col min="14355" max="14357" width="5.125" style="146" customWidth="1"/>
    <col min="14358" max="14358" width="6.5" style="146" customWidth="1"/>
    <col min="14359" max="14359" width="2.875" style="146" customWidth="1"/>
    <col min="14360" max="14360" width="11.5" style="146"/>
    <col min="14361" max="14361" width="10" style="146" customWidth="1"/>
    <col min="14362" max="14362" width="4.75" style="146" customWidth="1"/>
    <col min="14363" max="14363" width="11.5" style="146"/>
    <col min="14364" max="14370" width="10.125" style="146" customWidth="1"/>
    <col min="14371" max="14593" width="11.5" style="146"/>
    <col min="14594" max="14594" width="6.125" style="146" customWidth="1"/>
    <col min="14595" max="14595" width="32.375" style="146" customWidth="1"/>
    <col min="14596" max="14596" width="5.125" style="146" customWidth="1"/>
    <col min="14597" max="14597" width="5" style="146" customWidth="1"/>
    <col min="14598" max="14604" width="5.125" style="146" customWidth="1"/>
    <col min="14605" max="14605" width="5.375" style="146" customWidth="1"/>
    <col min="14606" max="14606" width="5.5" style="146" customWidth="1"/>
    <col min="14607" max="14607" width="6" style="146" customWidth="1"/>
    <col min="14608" max="14608" width="5.875" style="146" customWidth="1"/>
    <col min="14609" max="14609" width="8.25" style="146" customWidth="1"/>
    <col min="14610" max="14610" width="5.625" style="146" customWidth="1"/>
    <col min="14611" max="14613" width="5.125" style="146" customWidth="1"/>
    <col min="14614" max="14614" width="6.5" style="146" customWidth="1"/>
    <col min="14615" max="14615" width="2.875" style="146" customWidth="1"/>
    <col min="14616" max="14616" width="11.5" style="146"/>
    <col min="14617" max="14617" width="10" style="146" customWidth="1"/>
    <col min="14618" max="14618" width="4.75" style="146" customWidth="1"/>
    <col min="14619" max="14619" width="11.5" style="146"/>
    <col min="14620" max="14626" width="10.125" style="146" customWidth="1"/>
    <col min="14627" max="14849" width="11.5" style="146"/>
    <col min="14850" max="14850" width="6.125" style="146" customWidth="1"/>
    <col min="14851" max="14851" width="32.375" style="146" customWidth="1"/>
    <col min="14852" max="14852" width="5.125" style="146" customWidth="1"/>
    <col min="14853" max="14853" width="5" style="146" customWidth="1"/>
    <col min="14854" max="14860" width="5.125" style="146" customWidth="1"/>
    <col min="14861" max="14861" width="5.375" style="146" customWidth="1"/>
    <col min="14862" max="14862" width="5.5" style="146" customWidth="1"/>
    <col min="14863" max="14863" width="6" style="146" customWidth="1"/>
    <col min="14864" max="14864" width="5.875" style="146" customWidth="1"/>
    <col min="14865" max="14865" width="8.25" style="146" customWidth="1"/>
    <col min="14866" max="14866" width="5.625" style="146" customWidth="1"/>
    <col min="14867" max="14869" width="5.125" style="146" customWidth="1"/>
    <col min="14870" max="14870" width="6.5" style="146" customWidth="1"/>
    <col min="14871" max="14871" width="2.875" style="146" customWidth="1"/>
    <col min="14872" max="14872" width="11.5" style="146"/>
    <col min="14873" max="14873" width="10" style="146" customWidth="1"/>
    <col min="14874" max="14874" width="4.75" style="146" customWidth="1"/>
    <col min="14875" max="14875" width="11.5" style="146"/>
    <col min="14876" max="14882" width="10.125" style="146" customWidth="1"/>
    <col min="14883" max="15105" width="11.5" style="146"/>
    <col min="15106" max="15106" width="6.125" style="146" customWidth="1"/>
    <col min="15107" max="15107" width="32.375" style="146" customWidth="1"/>
    <col min="15108" max="15108" width="5.125" style="146" customWidth="1"/>
    <col min="15109" max="15109" width="5" style="146" customWidth="1"/>
    <col min="15110" max="15116" width="5.125" style="146" customWidth="1"/>
    <col min="15117" max="15117" width="5.375" style="146" customWidth="1"/>
    <col min="15118" max="15118" width="5.5" style="146" customWidth="1"/>
    <col min="15119" max="15119" width="6" style="146" customWidth="1"/>
    <col min="15120" max="15120" width="5.875" style="146" customWidth="1"/>
    <col min="15121" max="15121" width="8.25" style="146" customWidth="1"/>
    <col min="15122" max="15122" width="5.625" style="146" customWidth="1"/>
    <col min="15123" max="15125" width="5.125" style="146" customWidth="1"/>
    <col min="15126" max="15126" width="6.5" style="146" customWidth="1"/>
    <col min="15127" max="15127" width="2.875" style="146" customWidth="1"/>
    <col min="15128" max="15128" width="11.5" style="146"/>
    <col min="15129" max="15129" width="10" style="146" customWidth="1"/>
    <col min="15130" max="15130" width="4.75" style="146" customWidth="1"/>
    <col min="15131" max="15131" width="11.5" style="146"/>
    <col min="15132" max="15138" width="10.125" style="146" customWidth="1"/>
    <col min="15139" max="15361" width="11.5" style="146"/>
    <col min="15362" max="15362" width="6.125" style="146" customWidth="1"/>
    <col min="15363" max="15363" width="32.375" style="146" customWidth="1"/>
    <col min="15364" max="15364" width="5.125" style="146" customWidth="1"/>
    <col min="15365" max="15365" width="5" style="146" customWidth="1"/>
    <col min="15366" max="15372" width="5.125" style="146" customWidth="1"/>
    <col min="15373" max="15373" width="5.375" style="146" customWidth="1"/>
    <col min="15374" max="15374" width="5.5" style="146" customWidth="1"/>
    <col min="15375" max="15375" width="6" style="146" customWidth="1"/>
    <col min="15376" max="15376" width="5.875" style="146" customWidth="1"/>
    <col min="15377" max="15377" width="8.25" style="146" customWidth="1"/>
    <col min="15378" max="15378" width="5.625" style="146" customWidth="1"/>
    <col min="15379" max="15381" width="5.125" style="146" customWidth="1"/>
    <col min="15382" max="15382" width="6.5" style="146" customWidth="1"/>
    <col min="15383" max="15383" width="2.875" style="146" customWidth="1"/>
    <col min="15384" max="15384" width="11.5" style="146"/>
    <col min="15385" max="15385" width="10" style="146" customWidth="1"/>
    <col min="15386" max="15386" width="4.75" style="146" customWidth="1"/>
    <col min="15387" max="15387" width="11.5" style="146"/>
    <col min="15388" max="15394" width="10.125" style="146" customWidth="1"/>
    <col min="15395" max="15617" width="11.5" style="146"/>
    <col min="15618" max="15618" width="6.125" style="146" customWidth="1"/>
    <col min="15619" max="15619" width="32.375" style="146" customWidth="1"/>
    <col min="15620" max="15620" width="5.125" style="146" customWidth="1"/>
    <col min="15621" max="15621" width="5" style="146" customWidth="1"/>
    <col min="15622" max="15628" width="5.125" style="146" customWidth="1"/>
    <col min="15629" max="15629" width="5.375" style="146" customWidth="1"/>
    <col min="15630" max="15630" width="5.5" style="146" customWidth="1"/>
    <col min="15631" max="15631" width="6" style="146" customWidth="1"/>
    <col min="15632" max="15632" width="5.875" style="146" customWidth="1"/>
    <col min="15633" max="15633" width="8.25" style="146" customWidth="1"/>
    <col min="15634" max="15634" width="5.625" style="146" customWidth="1"/>
    <col min="15635" max="15637" width="5.125" style="146" customWidth="1"/>
    <col min="15638" max="15638" width="6.5" style="146" customWidth="1"/>
    <col min="15639" max="15639" width="2.875" style="146" customWidth="1"/>
    <col min="15640" max="15640" width="11.5" style="146"/>
    <col min="15641" max="15641" width="10" style="146" customWidth="1"/>
    <col min="15642" max="15642" width="4.75" style="146" customWidth="1"/>
    <col min="15643" max="15643" width="11.5" style="146"/>
    <col min="15644" max="15650" width="10.125" style="146" customWidth="1"/>
    <col min="15651" max="15873" width="11.5" style="146"/>
    <col min="15874" max="15874" width="6.125" style="146" customWidth="1"/>
    <col min="15875" max="15875" width="32.375" style="146" customWidth="1"/>
    <col min="15876" max="15876" width="5.125" style="146" customWidth="1"/>
    <col min="15877" max="15877" width="5" style="146" customWidth="1"/>
    <col min="15878" max="15884" width="5.125" style="146" customWidth="1"/>
    <col min="15885" max="15885" width="5.375" style="146" customWidth="1"/>
    <col min="15886" max="15886" width="5.5" style="146" customWidth="1"/>
    <col min="15887" max="15887" width="6" style="146" customWidth="1"/>
    <col min="15888" max="15888" width="5.875" style="146" customWidth="1"/>
    <col min="15889" max="15889" width="8.25" style="146" customWidth="1"/>
    <col min="15890" max="15890" width="5.625" style="146" customWidth="1"/>
    <col min="15891" max="15893" width="5.125" style="146" customWidth="1"/>
    <col min="15894" max="15894" width="6.5" style="146" customWidth="1"/>
    <col min="15895" max="15895" width="2.875" style="146" customWidth="1"/>
    <col min="15896" max="15896" width="11.5" style="146"/>
    <col min="15897" max="15897" width="10" style="146" customWidth="1"/>
    <col min="15898" max="15898" width="4.75" style="146" customWidth="1"/>
    <col min="15899" max="15899" width="11.5" style="146"/>
    <col min="15900" max="15906" width="10.125" style="146" customWidth="1"/>
    <col min="15907" max="16129" width="11.5" style="146"/>
    <col min="16130" max="16130" width="6.125" style="146" customWidth="1"/>
    <col min="16131" max="16131" width="32.375" style="146" customWidth="1"/>
    <col min="16132" max="16132" width="5.125" style="146" customWidth="1"/>
    <col min="16133" max="16133" width="5" style="146" customWidth="1"/>
    <col min="16134" max="16140" width="5.125" style="146" customWidth="1"/>
    <col min="16141" max="16141" width="5.375" style="146" customWidth="1"/>
    <col min="16142" max="16142" width="5.5" style="146" customWidth="1"/>
    <col min="16143" max="16143" width="6" style="146" customWidth="1"/>
    <col min="16144" max="16144" width="5.875" style="146" customWidth="1"/>
    <col min="16145" max="16145" width="8.25" style="146" customWidth="1"/>
    <col min="16146" max="16146" width="5.625" style="146" customWidth="1"/>
    <col min="16147" max="16149" width="5.125" style="146" customWidth="1"/>
    <col min="16150" max="16150" width="6.5" style="146" customWidth="1"/>
    <col min="16151" max="16151" width="2.875" style="146" customWidth="1"/>
    <col min="16152" max="16152" width="11.5" style="146"/>
    <col min="16153" max="16153" width="10" style="146" customWidth="1"/>
    <col min="16154" max="16154" width="4.75" style="146" customWidth="1"/>
    <col min="16155" max="16155" width="11.5" style="146"/>
    <col min="16156" max="16162" width="10.125" style="146" customWidth="1"/>
    <col min="16163" max="16384" width="11.5" style="146"/>
  </cols>
  <sheetData>
    <row r="1" spans="1:42" ht="31.7" customHeight="1" x14ac:dyDescent="0.25">
      <c r="H1" s="650" t="str">
        <f>Startmenue!G2</f>
        <v>Version 1.2</v>
      </c>
      <c r="I1" s="1679"/>
      <c r="U1" s="577"/>
    </row>
    <row r="2" spans="1:42" ht="13.7" x14ac:dyDescent="0.2">
      <c r="C2" s="577" t="s">
        <v>4368</v>
      </c>
      <c r="E2" s="146" t="s">
        <v>4372</v>
      </c>
      <c r="F2" s="22"/>
      <c r="G2" s="22"/>
      <c r="H2" s="22"/>
      <c r="I2" s="22"/>
      <c r="J2" s="22"/>
      <c r="K2" s="22"/>
      <c r="L2" s="22"/>
      <c r="M2" s="22"/>
    </row>
    <row r="3" spans="1:42" x14ac:dyDescent="0.2">
      <c r="C3" s="963" t="s">
        <v>4464</v>
      </c>
      <c r="G3" s="577" t="s">
        <v>4465</v>
      </c>
    </row>
    <row r="4" spans="1:42" ht="14.25" customHeight="1" x14ac:dyDescent="0.2">
      <c r="C4" s="963"/>
      <c r="G4" s="577" t="s">
        <v>4466</v>
      </c>
    </row>
    <row r="5" spans="1:42" ht="0.75" customHeight="1" x14ac:dyDescent="0.2">
      <c r="C5" s="963"/>
      <c r="G5" s="577"/>
    </row>
    <row r="6" spans="1:42" ht="0.75" customHeight="1" x14ac:dyDescent="0.2">
      <c r="C6" s="963"/>
      <c r="G6" s="577"/>
    </row>
    <row r="7" spans="1:42" ht="0.75" customHeight="1" x14ac:dyDescent="0.2">
      <c r="C7" s="963"/>
      <c r="G7" s="577"/>
    </row>
    <row r="8" spans="1:42" s="578" customFormat="1" ht="10.15" customHeight="1" x14ac:dyDescent="0.2">
      <c r="B8" s="579"/>
      <c r="C8" s="580"/>
      <c r="E8" s="581">
        <f>COLUMNS($E$8:E8)</f>
        <v>1</v>
      </c>
      <c r="F8" s="581">
        <f>COLUMNS($E$8:F8)</f>
        <v>2</v>
      </c>
      <c r="G8" s="581">
        <f>COLUMNS($E$8:G8)</f>
        <v>3</v>
      </c>
      <c r="H8" s="581">
        <f>COLUMNS($E$8:H8)</f>
        <v>4</v>
      </c>
      <c r="I8" s="581">
        <f>COLUMNS($E$8:I8)</f>
        <v>5</v>
      </c>
      <c r="J8" s="581">
        <f>COLUMNS($E$8:J8)</f>
        <v>6</v>
      </c>
      <c r="K8" s="581">
        <f>COLUMNS($E$8:K8)</f>
        <v>7</v>
      </c>
      <c r="L8" s="581">
        <f>COLUMNS($E$8:L8)</f>
        <v>8</v>
      </c>
      <c r="M8" s="581">
        <f>COLUMNS($E$8:M8)</f>
        <v>9</v>
      </c>
      <c r="N8" s="581">
        <f>COLUMNS($E$8:N8)</f>
        <v>10</v>
      </c>
      <c r="O8" s="581">
        <f>COLUMNS($E$8:O8)</f>
        <v>11</v>
      </c>
      <c r="P8" s="581">
        <f>COLUMNS($E$8:P8)</f>
        <v>12</v>
      </c>
      <c r="Q8" s="581">
        <f>COLUMNS($E$8:Q8)</f>
        <v>13</v>
      </c>
      <c r="R8" s="581">
        <f>COLUMNS($E$8:R8)</f>
        <v>14</v>
      </c>
      <c r="S8" s="581">
        <f>COLUMNS($E$8:S8)</f>
        <v>15</v>
      </c>
      <c r="T8" s="581">
        <f>COLUMNS($E$8:T8)</f>
        <v>16</v>
      </c>
      <c r="U8" s="581">
        <f>COLUMNS($E$8:U8)</f>
        <v>17</v>
      </c>
      <c r="V8" s="581">
        <f>COLUMNS($E$8:V8)</f>
        <v>18</v>
      </c>
      <c r="W8" s="581">
        <f>COLUMNS($E$8:W8)</f>
        <v>19</v>
      </c>
      <c r="X8" s="581">
        <f>COLUMNS($E$8:X8)</f>
        <v>20</v>
      </c>
      <c r="Y8" s="581">
        <f>COLUMNS($E$8:Y8)</f>
        <v>21</v>
      </c>
      <c r="Z8" s="581">
        <f>COLUMNS($E$8:Z8)</f>
        <v>22</v>
      </c>
      <c r="AA8" s="581">
        <f>COLUMNS($E$8:AA8)</f>
        <v>23</v>
      </c>
      <c r="AB8" s="581">
        <f>COLUMNS($E$8:AB8)</f>
        <v>24</v>
      </c>
      <c r="AC8" s="581">
        <f>COLUMNS($E$8:AC8)</f>
        <v>25</v>
      </c>
      <c r="AD8" s="581">
        <f>COLUMNS($E$8:AD8)</f>
        <v>26</v>
      </c>
      <c r="AE8" s="581">
        <f>COLUMNS($E$8:AE8)</f>
        <v>27</v>
      </c>
      <c r="AF8" s="581">
        <f>COLUMNS($E$8:AF8)</f>
        <v>28</v>
      </c>
      <c r="AG8" s="581">
        <f>COLUMNS($E$8:AG8)</f>
        <v>29</v>
      </c>
      <c r="AH8" s="581">
        <f>COLUMNS($E$8:AH8)</f>
        <v>30</v>
      </c>
      <c r="AI8" s="581">
        <f>COLUMNS($E$8:AI8)</f>
        <v>31</v>
      </c>
      <c r="AJ8" s="581">
        <f>COLUMNS($E$8:AJ8)</f>
        <v>32</v>
      </c>
      <c r="AK8" s="581">
        <f>COLUMNS($E$8:AK8)</f>
        <v>33</v>
      </c>
      <c r="AL8" s="581">
        <f>COLUMNS($E$8:AL8)</f>
        <v>34</v>
      </c>
      <c r="AM8" s="581">
        <f>COLUMNS($E$8:AM8)</f>
        <v>35</v>
      </c>
      <c r="AN8" s="581">
        <f>COLUMNS($E$8:AN8)</f>
        <v>36</v>
      </c>
      <c r="AO8" s="581">
        <f>COLUMNS($E$8:AO8)</f>
        <v>37</v>
      </c>
      <c r="AP8" s="581">
        <f>COLUMNS($E$8:AP8)</f>
        <v>38</v>
      </c>
    </row>
    <row r="9" spans="1:42" s="1531" customFormat="1" ht="123" x14ac:dyDescent="0.2">
      <c r="A9" s="1528"/>
      <c r="B9" s="1529"/>
      <c r="C9" s="1529" t="s">
        <v>3644</v>
      </c>
      <c r="D9" s="1529" t="s">
        <v>3645</v>
      </c>
      <c r="E9" s="1529" t="s">
        <v>3749</v>
      </c>
      <c r="F9" s="1529" t="s">
        <v>3422</v>
      </c>
      <c r="G9" s="1528" t="s">
        <v>3643</v>
      </c>
      <c r="H9" s="1530" t="s">
        <v>3423</v>
      </c>
      <c r="I9" s="1531" t="s">
        <v>4506</v>
      </c>
      <c r="J9" s="1531" t="s">
        <v>4503</v>
      </c>
      <c r="K9" s="1531" t="s">
        <v>4500</v>
      </c>
      <c r="L9" s="1531" t="s">
        <v>4504</v>
      </c>
      <c r="M9" s="1531" t="s">
        <v>4501</v>
      </c>
      <c r="N9" s="1531" t="s">
        <v>4505</v>
      </c>
      <c r="O9" s="1531" t="s">
        <v>4502</v>
      </c>
      <c r="P9" s="1531" t="s">
        <v>3437</v>
      </c>
      <c r="Q9" s="1531" t="s">
        <v>4374</v>
      </c>
      <c r="R9" s="1531" t="s">
        <v>4375</v>
      </c>
      <c r="S9" s="1531" t="s">
        <v>4373</v>
      </c>
      <c r="T9" s="1531" t="s">
        <v>3438</v>
      </c>
      <c r="U9" s="1531" t="s">
        <v>3439</v>
      </c>
      <c r="V9" s="1531" t="s">
        <v>3440</v>
      </c>
      <c r="W9" s="1531" t="s">
        <v>3441</v>
      </c>
      <c r="X9" s="1531" t="s">
        <v>3442</v>
      </c>
      <c r="Y9" s="1531" t="s">
        <v>3443</v>
      </c>
      <c r="Z9" s="1531" t="s">
        <v>4470</v>
      </c>
      <c r="AA9" s="1531" t="s">
        <v>3444</v>
      </c>
      <c r="AB9" s="1531" t="s">
        <v>3445</v>
      </c>
      <c r="AC9" s="1531" t="s">
        <v>3446</v>
      </c>
      <c r="AD9" s="1531" t="s">
        <v>4280</v>
      </c>
      <c r="AE9" s="1531" t="s">
        <v>3447</v>
      </c>
      <c r="AF9" s="1531" t="s">
        <v>3448</v>
      </c>
      <c r="AI9" s="1531" t="s">
        <v>3449</v>
      </c>
      <c r="AJ9" s="1531" t="s">
        <v>3307</v>
      </c>
      <c r="AK9" s="1531" t="s">
        <v>3905</v>
      </c>
      <c r="AL9" s="1531" t="s">
        <v>3906</v>
      </c>
      <c r="AM9" s="1531" t="s">
        <v>4097</v>
      </c>
      <c r="AN9" s="1531" t="s">
        <v>4649</v>
      </c>
      <c r="AO9" s="1531" t="s">
        <v>4650</v>
      </c>
      <c r="AP9" s="1531" t="s">
        <v>4805</v>
      </c>
    </row>
    <row r="10" spans="1:42" s="1095" customFormat="1" ht="14.25" customHeight="1" x14ac:dyDescent="0.2">
      <c r="F10" s="1095" t="s">
        <v>4471</v>
      </c>
      <c r="G10" s="1095" t="s">
        <v>4376</v>
      </c>
      <c r="H10" s="1095" t="s">
        <v>37</v>
      </c>
      <c r="I10" s="1095" t="s">
        <v>4468</v>
      </c>
      <c r="J10" s="1095" t="s">
        <v>4467</v>
      </c>
      <c r="K10" s="1095" t="s">
        <v>4467</v>
      </c>
      <c r="L10" s="1095" t="s">
        <v>4467</v>
      </c>
      <c r="M10" s="1095" t="s">
        <v>4467</v>
      </c>
      <c r="N10" s="1095" t="s">
        <v>4467</v>
      </c>
      <c r="O10" s="1095" t="s">
        <v>4467</v>
      </c>
      <c r="P10" s="1095" t="s">
        <v>4467</v>
      </c>
      <c r="Q10" s="1095" t="s">
        <v>4467</v>
      </c>
      <c r="R10" s="1095" t="s">
        <v>4467</v>
      </c>
      <c r="S10" s="1095" t="s">
        <v>4467</v>
      </c>
      <c r="T10" s="1095" t="s">
        <v>4469</v>
      </c>
      <c r="U10" s="1095" t="s">
        <v>4469</v>
      </c>
      <c r="V10" s="1095" t="s">
        <v>37</v>
      </c>
      <c r="W10" s="1095" t="s">
        <v>37</v>
      </c>
      <c r="X10" s="1095" t="s">
        <v>37</v>
      </c>
      <c r="Y10" s="1095" t="s">
        <v>3660</v>
      </c>
      <c r="Z10" s="1095" t="s">
        <v>3660</v>
      </c>
      <c r="AA10" s="1095" t="s">
        <v>37</v>
      </c>
      <c r="AB10" s="1095" t="s">
        <v>4469</v>
      </c>
      <c r="AC10" s="1095" t="s">
        <v>4469</v>
      </c>
      <c r="AD10" s="1095" t="s">
        <v>4469</v>
      </c>
      <c r="AE10" s="1095" t="s">
        <v>37</v>
      </c>
      <c r="AF10" s="1095" t="s">
        <v>37</v>
      </c>
      <c r="AI10" s="1095" t="s">
        <v>4471</v>
      </c>
      <c r="AJ10" s="1095" t="s">
        <v>4471</v>
      </c>
      <c r="AK10" s="1095" t="s">
        <v>4469</v>
      </c>
      <c r="AL10" s="1095" t="s">
        <v>4469</v>
      </c>
      <c r="AM10" s="1095" t="s">
        <v>4472</v>
      </c>
      <c r="AN10" s="1095" t="s">
        <v>4472</v>
      </c>
      <c r="AO10" s="1095" t="s">
        <v>4471</v>
      </c>
    </row>
    <row r="11" spans="1:42" ht="14.25" customHeight="1" x14ac:dyDescent="0.2">
      <c r="B11" s="146"/>
      <c r="C11" s="146"/>
      <c r="G11" s="146"/>
      <c r="T11" s="576"/>
      <c r="U11" s="146"/>
      <c r="Y11" s="595"/>
      <c r="Z11" s="146"/>
      <c r="AD11" s="576"/>
      <c r="AE11" s="146"/>
      <c r="AG11" s="582"/>
      <c r="AI11" s="576"/>
      <c r="AJ11" s="597"/>
      <c r="AK11" s="146"/>
    </row>
    <row r="12" spans="1:42" ht="14.25" customHeight="1" x14ac:dyDescent="0.2">
      <c r="B12" s="146"/>
      <c r="C12" s="576">
        <v>0</v>
      </c>
      <c r="D12" s="146">
        <v>9999</v>
      </c>
      <c r="E12" s="584">
        <v>1</v>
      </c>
      <c r="F12" s="146" t="s">
        <v>3494</v>
      </c>
      <c r="G12" s="576">
        <v>0</v>
      </c>
      <c r="T12" s="576"/>
      <c r="U12" s="146"/>
      <c r="Y12" s="595"/>
      <c r="Z12" s="146"/>
      <c r="AD12" s="576"/>
      <c r="AE12" s="146"/>
      <c r="AI12" s="576"/>
      <c r="AJ12" s="597"/>
      <c r="AK12" s="146"/>
      <c r="AM12" s="584">
        <f t="shared" ref="AM12:AM43" si="0">E12</f>
        <v>1</v>
      </c>
    </row>
    <row r="13" spans="1:42" ht="14.25" customHeight="1" x14ac:dyDescent="0.2">
      <c r="B13" s="146"/>
      <c r="C13" s="576">
        <v>1</v>
      </c>
      <c r="D13" s="146">
        <v>1011</v>
      </c>
      <c r="E13" s="584">
        <v>2</v>
      </c>
      <c r="F13" s="146" t="s">
        <v>4545</v>
      </c>
      <c r="G13" s="576">
        <v>1</v>
      </c>
      <c r="H13" s="146">
        <v>210</v>
      </c>
      <c r="I13" s="146">
        <v>2.21</v>
      </c>
      <c r="J13" s="146">
        <v>0.8</v>
      </c>
      <c r="K13" s="146">
        <v>1.04</v>
      </c>
      <c r="L13" s="146">
        <v>0.6</v>
      </c>
      <c r="M13" s="146">
        <v>1.72</v>
      </c>
      <c r="N13" s="146">
        <v>0.2</v>
      </c>
      <c r="O13" s="146">
        <v>0.36</v>
      </c>
      <c r="P13" s="146">
        <v>20</v>
      </c>
      <c r="T13" s="576">
        <v>80</v>
      </c>
      <c r="U13" s="146">
        <v>10</v>
      </c>
      <c r="V13" s="146">
        <v>10</v>
      </c>
      <c r="W13" s="146">
        <v>40</v>
      </c>
      <c r="X13" s="146">
        <v>15</v>
      </c>
      <c r="Y13" s="595"/>
      <c r="Z13" s="146"/>
      <c r="AB13" s="146">
        <v>30</v>
      </c>
      <c r="AC13" s="146">
        <v>100</v>
      </c>
      <c r="AD13" s="585">
        <f>(AB13+AC13)/2</f>
        <v>65</v>
      </c>
      <c r="AE13" s="146">
        <v>200</v>
      </c>
      <c r="AF13" s="146">
        <v>30</v>
      </c>
      <c r="AI13" s="576" t="s">
        <v>3648</v>
      </c>
      <c r="AJ13" s="597">
        <v>0</v>
      </c>
      <c r="AK13" s="146"/>
      <c r="AM13" s="584">
        <f t="shared" si="0"/>
        <v>2</v>
      </c>
      <c r="AN13" s="146">
        <v>115</v>
      </c>
      <c r="AO13" s="146" t="s">
        <v>4651</v>
      </c>
    </row>
    <row r="14" spans="1:42" ht="14.25" customHeight="1" x14ac:dyDescent="0.2">
      <c r="B14" s="146"/>
      <c r="C14" s="576">
        <v>1</v>
      </c>
      <c r="D14" s="146">
        <v>1010</v>
      </c>
      <c r="E14" s="584">
        <v>3</v>
      </c>
      <c r="F14" s="146" t="s">
        <v>3372</v>
      </c>
      <c r="G14" s="576">
        <v>1</v>
      </c>
      <c r="H14" s="146">
        <v>230</v>
      </c>
      <c r="I14" s="146">
        <v>2.5099999999999998</v>
      </c>
      <c r="J14" s="146">
        <v>0.8</v>
      </c>
      <c r="K14" s="146">
        <v>1.04</v>
      </c>
      <c r="L14" s="146">
        <v>0.6</v>
      </c>
      <c r="M14" s="146">
        <v>1.72</v>
      </c>
      <c r="N14" s="146">
        <v>0.2</v>
      </c>
      <c r="O14" s="146">
        <v>0.36</v>
      </c>
      <c r="P14" s="146">
        <v>20</v>
      </c>
      <c r="T14" s="576">
        <v>80</v>
      </c>
      <c r="U14" s="146">
        <v>10</v>
      </c>
      <c r="V14" s="146">
        <v>10</v>
      </c>
      <c r="W14" s="146">
        <v>40</v>
      </c>
      <c r="X14" s="146">
        <v>15</v>
      </c>
      <c r="Y14" s="595"/>
      <c r="Z14" s="146"/>
      <c r="AB14" s="146">
        <v>30</v>
      </c>
      <c r="AC14" s="146">
        <v>95</v>
      </c>
      <c r="AD14" s="585">
        <f t="shared" ref="AD14:AD76" si="1">(AB14+AC14)/2</f>
        <v>62.5</v>
      </c>
      <c r="AE14" s="146">
        <v>200</v>
      </c>
      <c r="AF14" s="146">
        <v>60</v>
      </c>
      <c r="AI14" s="576" t="s">
        <v>3648</v>
      </c>
      <c r="AJ14" s="597">
        <v>0</v>
      </c>
      <c r="AK14" s="146"/>
      <c r="AM14" s="584">
        <f t="shared" si="0"/>
        <v>3</v>
      </c>
      <c r="AN14" s="146">
        <v>115</v>
      </c>
      <c r="AO14" s="146" t="s">
        <v>4651</v>
      </c>
    </row>
    <row r="15" spans="1:42" ht="14.25" customHeight="1" x14ac:dyDescent="0.2">
      <c r="B15" s="146"/>
      <c r="C15" s="576">
        <v>1</v>
      </c>
      <c r="D15" s="146">
        <v>1017</v>
      </c>
      <c r="E15" s="584">
        <v>4</v>
      </c>
      <c r="F15" s="146" t="s">
        <v>3373</v>
      </c>
      <c r="G15" s="576">
        <v>1</v>
      </c>
      <c r="H15" s="146">
        <v>260</v>
      </c>
      <c r="I15" s="146">
        <v>2.81</v>
      </c>
      <c r="J15" s="146">
        <v>0.8</v>
      </c>
      <c r="K15" s="146">
        <v>1.04</v>
      </c>
      <c r="L15" s="146">
        <v>0.6</v>
      </c>
      <c r="M15" s="146">
        <v>1.72</v>
      </c>
      <c r="N15" s="146">
        <v>0.2</v>
      </c>
      <c r="O15" s="146">
        <v>0.36</v>
      </c>
      <c r="P15" s="146">
        <v>20</v>
      </c>
      <c r="T15" s="576">
        <v>80</v>
      </c>
      <c r="U15" s="146">
        <v>10</v>
      </c>
      <c r="V15" s="146">
        <v>10</v>
      </c>
      <c r="W15" s="146">
        <v>40</v>
      </c>
      <c r="X15" s="146">
        <v>15</v>
      </c>
      <c r="Y15" s="595"/>
      <c r="Z15" s="146"/>
      <c r="AB15" s="146">
        <v>30</v>
      </c>
      <c r="AC15" s="146">
        <v>85</v>
      </c>
      <c r="AD15" s="585">
        <f t="shared" si="1"/>
        <v>57.5</v>
      </c>
      <c r="AE15" s="146">
        <v>200</v>
      </c>
      <c r="AF15" s="146">
        <v>60</v>
      </c>
      <c r="AI15" s="576" t="s">
        <v>3648</v>
      </c>
      <c r="AJ15" s="597">
        <v>0</v>
      </c>
      <c r="AK15" s="146"/>
      <c r="AM15" s="584">
        <f t="shared" si="0"/>
        <v>4</v>
      </c>
      <c r="AN15" s="146">
        <v>115</v>
      </c>
      <c r="AO15" s="146" t="s">
        <v>4651</v>
      </c>
    </row>
    <row r="16" spans="1:42" ht="14.25" customHeight="1" x14ac:dyDescent="0.2">
      <c r="B16" s="146"/>
      <c r="C16" s="576">
        <v>1</v>
      </c>
      <c r="D16" s="146">
        <v>1019</v>
      </c>
      <c r="E16" s="584">
        <v>5</v>
      </c>
      <c r="F16" s="146" t="s">
        <v>3374</v>
      </c>
      <c r="G16" s="1680">
        <v>1</v>
      </c>
      <c r="H16" s="1681">
        <v>180</v>
      </c>
      <c r="I16" s="1681">
        <v>2.1</v>
      </c>
      <c r="J16" s="1681">
        <v>0.8</v>
      </c>
      <c r="K16" s="1681">
        <v>1.04</v>
      </c>
      <c r="L16" s="1681">
        <v>0.6</v>
      </c>
      <c r="M16" s="1681">
        <v>1.72</v>
      </c>
      <c r="N16" s="1681">
        <v>0.2</v>
      </c>
      <c r="O16" s="1681">
        <v>0.36</v>
      </c>
      <c r="P16" s="1681">
        <v>20</v>
      </c>
      <c r="Q16" s="1681"/>
      <c r="R16" s="1681"/>
      <c r="S16" s="1681"/>
      <c r="T16" s="1680">
        <v>75</v>
      </c>
      <c r="U16" s="1681">
        <v>10</v>
      </c>
      <c r="V16" s="1681">
        <v>10</v>
      </c>
      <c r="W16" s="1681">
        <v>40</v>
      </c>
      <c r="X16" s="1681">
        <v>15</v>
      </c>
      <c r="Y16" s="595"/>
      <c r="Z16" s="146"/>
      <c r="AB16" s="146">
        <v>30</v>
      </c>
      <c r="AC16" s="146">
        <v>90</v>
      </c>
      <c r="AD16" s="585">
        <f t="shared" si="1"/>
        <v>60</v>
      </c>
      <c r="AE16" s="146">
        <v>120</v>
      </c>
      <c r="AF16" s="146">
        <v>30</v>
      </c>
      <c r="AI16" s="576" t="s">
        <v>3648</v>
      </c>
      <c r="AJ16" s="597">
        <v>0</v>
      </c>
      <c r="AK16" s="146"/>
      <c r="AM16" s="584">
        <f t="shared" si="0"/>
        <v>5</v>
      </c>
      <c r="AN16" s="1508"/>
      <c r="AO16" s="1508"/>
    </row>
    <row r="17" spans="2:41" ht="14.25" customHeight="1" x14ac:dyDescent="0.2">
      <c r="B17" s="146"/>
      <c r="C17" s="576">
        <v>1</v>
      </c>
      <c r="D17" s="146">
        <v>1020</v>
      </c>
      <c r="E17" s="584">
        <v>6</v>
      </c>
      <c r="F17" s="146" t="s">
        <v>3375</v>
      </c>
      <c r="G17" s="1680">
        <v>1</v>
      </c>
      <c r="H17" s="1681">
        <v>180</v>
      </c>
      <c r="I17" s="1681">
        <v>2.5099999999999998</v>
      </c>
      <c r="J17" s="1681">
        <v>0.8</v>
      </c>
      <c r="K17" s="1681">
        <v>1.04</v>
      </c>
      <c r="L17" s="1681">
        <v>0.6</v>
      </c>
      <c r="M17" s="1681">
        <v>1.72</v>
      </c>
      <c r="N17" s="1681">
        <v>0.2</v>
      </c>
      <c r="O17" s="1681">
        <v>0.36</v>
      </c>
      <c r="P17" s="1681">
        <v>20</v>
      </c>
      <c r="Q17" s="1681"/>
      <c r="R17" s="1681"/>
      <c r="S17" s="1681"/>
      <c r="T17" s="1680">
        <v>60</v>
      </c>
      <c r="U17" s="1681">
        <v>10</v>
      </c>
      <c r="V17" s="1681">
        <v>10</v>
      </c>
      <c r="W17" s="1681">
        <v>40</v>
      </c>
      <c r="X17" s="1681">
        <v>15</v>
      </c>
      <c r="Y17" s="595"/>
      <c r="Z17" s="146"/>
      <c r="AB17" s="146">
        <v>25</v>
      </c>
      <c r="AC17" s="146">
        <v>90</v>
      </c>
      <c r="AD17" s="585">
        <f t="shared" si="1"/>
        <v>57.5</v>
      </c>
      <c r="AE17" s="146">
        <v>180</v>
      </c>
      <c r="AF17" s="146">
        <v>60</v>
      </c>
      <c r="AI17" s="576" t="s">
        <v>3648</v>
      </c>
      <c r="AJ17" s="597">
        <v>0</v>
      </c>
      <c r="AK17" s="146"/>
      <c r="AM17" s="584">
        <f t="shared" si="0"/>
        <v>6</v>
      </c>
      <c r="AN17" s="146">
        <v>116</v>
      </c>
      <c r="AO17" s="146" t="s">
        <v>4652</v>
      </c>
    </row>
    <row r="18" spans="2:41" ht="14.25" customHeight="1" x14ac:dyDescent="0.2">
      <c r="B18" s="146"/>
      <c r="C18" s="576">
        <v>1</v>
      </c>
      <c r="D18" s="146">
        <v>1021</v>
      </c>
      <c r="E18" s="584">
        <v>7</v>
      </c>
      <c r="F18" s="146" t="s">
        <v>3376</v>
      </c>
      <c r="G18" s="1680">
        <v>1</v>
      </c>
      <c r="H18" s="1681">
        <v>220</v>
      </c>
      <c r="I18" s="1681">
        <v>2.81</v>
      </c>
      <c r="J18" s="1681">
        <v>0.8</v>
      </c>
      <c r="K18" s="1681">
        <v>1.04</v>
      </c>
      <c r="L18" s="1681">
        <v>0.6</v>
      </c>
      <c r="M18" s="1681">
        <v>1.72</v>
      </c>
      <c r="N18" s="1681">
        <v>0.2</v>
      </c>
      <c r="O18" s="1681">
        <v>0.36</v>
      </c>
      <c r="P18" s="1681">
        <v>20</v>
      </c>
      <c r="Q18" s="1681"/>
      <c r="R18" s="1681"/>
      <c r="S18" s="1681"/>
      <c r="T18" s="1680">
        <v>60</v>
      </c>
      <c r="U18" s="1681">
        <v>10</v>
      </c>
      <c r="V18" s="1681">
        <v>10</v>
      </c>
      <c r="W18" s="1681">
        <v>40</v>
      </c>
      <c r="X18" s="1681">
        <v>15</v>
      </c>
      <c r="Y18" s="595"/>
      <c r="Z18" s="146"/>
      <c r="AB18" s="146">
        <v>25</v>
      </c>
      <c r="AC18" s="146">
        <v>80</v>
      </c>
      <c r="AD18" s="585">
        <f t="shared" si="1"/>
        <v>52.5</v>
      </c>
      <c r="AE18" s="146">
        <v>200</v>
      </c>
      <c r="AF18" s="146">
        <v>60</v>
      </c>
      <c r="AI18" s="576" t="s">
        <v>3648</v>
      </c>
      <c r="AJ18" s="597">
        <v>0</v>
      </c>
      <c r="AK18" s="146"/>
      <c r="AM18" s="584">
        <f t="shared" si="0"/>
        <v>7</v>
      </c>
      <c r="AN18" s="146">
        <v>116</v>
      </c>
      <c r="AO18" s="146" t="s">
        <v>4652</v>
      </c>
    </row>
    <row r="19" spans="2:41" ht="14.25" customHeight="1" x14ac:dyDescent="0.2">
      <c r="B19" s="146"/>
      <c r="C19" s="576">
        <v>1</v>
      </c>
      <c r="D19" s="146">
        <v>1050</v>
      </c>
      <c r="E19" s="584">
        <v>8</v>
      </c>
      <c r="F19" s="146" t="s">
        <v>3377</v>
      </c>
      <c r="G19" s="576">
        <v>1</v>
      </c>
      <c r="H19" s="146">
        <v>180</v>
      </c>
      <c r="I19" s="146">
        <v>2.14</v>
      </c>
      <c r="J19" s="146">
        <v>0.8</v>
      </c>
      <c r="K19" s="146">
        <v>1.01</v>
      </c>
      <c r="L19" s="146">
        <v>0.6</v>
      </c>
      <c r="M19" s="146">
        <v>1.79</v>
      </c>
      <c r="N19" s="146">
        <v>0.2</v>
      </c>
      <c r="O19" s="146">
        <v>0.27</v>
      </c>
      <c r="P19" s="146">
        <v>20</v>
      </c>
      <c r="T19" s="576">
        <v>70</v>
      </c>
      <c r="U19" s="146">
        <v>10</v>
      </c>
      <c r="V19" s="146">
        <v>10</v>
      </c>
      <c r="W19" s="146">
        <v>40</v>
      </c>
      <c r="X19" s="146">
        <v>15</v>
      </c>
      <c r="Y19" s="595"/>
      <c r="Z19" s="146"/>
      <c r="AB19" s="146">
        <v>30</v>
      </c>
      <c r="AC19" s="146">
        <v>90</v>
      </c>
      <c r="AD19" s="585">
        <f t="shared" si="1"/>
        <v>60</v>
      </c>
      <c r="AE19" s="146">
        <v>160</v>
      </c>
      <c r="AF19" s="146">
        <v>30</v>
      </c>
      <c r="AI19" s="576" t="s">
        <v>3648</v>
      </c>
      <c r="AJ19" s="597">
        <v>0</v>
      </c>
      <c r="AK19" s="146"/>
      <c r="AM19" s="584">
        <f t="shared" si="0"/>
        <v>8</v>
      </c>
      <c r="AN19" s="146">
        <v>131</v>
      </c>
      <c r="AO19" s="146" t="s">
        <v>4653</v>
      </c>
    </row>
    <row r="20" spans="2:41" ht="14.25" customHeight="1" x14ac:dyDescent="0.2">
      <c r="B20" s="146"/>
      <c r="C20" s="576">
        <v>1</v>
      </c>
      <c r="D20" s="146">
        <v>1051</v>
      </c>
      <c r="E20" s="584">
        <v>9</v>
      </c>
      <c r="F20" s="146" t="s">
        <v>3378</v>
      </c>
      <c r="G20" s="1680">
        <v>1</v>
      </c>
      <c r="H20" s="1681">
        <v>140</v>
      </c>
      <c r="I20" s="1681">
        <v>1.73</v>
      </c>
      <c r="J20" s="1681">
        <v>0.8</v>
      </c>
      <c r="K20" s="1681">
        <v>1.01</v>
      </c>
      <c r="L20" s="1681">
        <v>0.6</v>
      </c>
      <c r="M20" s="1681">
        <v>1.79</v>
      </c>
      <c r="N20" s="1681">
        <v>0.2</v>
      </c>
      <c r="O20" s="1681">
        <v>0.27</v>
      </c>
      <c r="P20" s="1681">
        <v>20</v>
      </c>
      <c r="Q20" s="1681"/>
      <c r="R20" s="1681"/>
      <c r="S20" s="1681"/>
      <c r="T20" s="1680">
        <v>70</v>
      </c>
      <c r="U20" s="1681">
        <v>10</v>
      </c>
      <c r="V20" s="1681">
        <v>10</v>
      </c>
      <c r="W20" s="1681">
        <v>40</v>
      </c>
      <c r="X20" s="1681">
        <v>15</v>
      </c>
      <c r="Y20" s="595"/>
      <c r="Z20" s="146"/>
      <c r="AB20" s="146">
        <v>30</v>
      </c>
      <c r="AC20" s="146">
        <v>90</v>
      </c>
      <c r="AD20" s="585">
        <f t="shared" si="1"/>
        <v>60</v>
      </c>
      <c r="AE20" s="146">
        <v>120</v>
      </c>
      <c r="AF20" s="146">
        <v>30</v>
      </c>
      <c r="AI20" s="576" t="s">
        <v>3648</v>
      </c>
      <c r="AJ20" s="597">
        <v>0</v>
      </c>
      <c r="AK20" s="146"/>
      <c r="AM20" s="584">
        <f t="shared" si="0"/>
        <v>9</v>
      </c>
      <c r="AN20" s="146">
        <v>131</v>
      </c>
      <c r="AO20" s="146" t="s">
        <v>4653</v>
      </c>
    </row>
    <row r="21" spans="2:41" ht="14.25" customHeight="1" x14ac:dyDescent="0.2">
      <c r="B21" s="146"/>
      <c r="C21" s="576">
        <v>1</v>
      </c>
      <c r="D21" s="146">
        <v>1070</v>
      </c>
      <c r="E21" s="584">
        <v>10</v>
      </c>
      <c r="F21" s="146" t="s">
        <v>3379</v>
      </c>
      <c r="G21" s="576">
        <v>1</v>
      </c>
      <c r="H21" s="146">
        <v>175</v>
      </c>
      <c r="I21" s="146">
        <v>2.19</v>
      </c>
      <c r="J21" s="146">
        <v>0.8</v>
      </c>
      <c r="K21" s="146">
        <v>1.04</v>
      </c>
      <c r="L21" s="146">
        <v>0.6</v>
      </c>
      <c r="M21" s="146">
        <v>1.96</v>
      </c>
      <c r="N21" s="146">
        <v>0.2</v>
      </c>
      <c r="O21" s="146">
        <v>0.28000000000000003</v>
      </c>
      <c r="P21" s="146">
        <v>20</v>
      </c>
      <c r="T21" s="576">
        <v>70</v>
      </c>
      <c r="U21" s="146">
        <v>10</v>
      </c>
      <c r="V21" s="146">
        <v>10</v>
      </c>
      <c r="W21" s="146">
        <v>40</v>
      </c>
      <c r="X21" s="146">
        <v>15</v>
      </c>
      <c r="Y21" s="595"/>
      <c r="Z21" s="146"/>
      <c r="AB21" s="146">
        <v>25</v>
      </c>
      <c r="AC21" s="146">
        <v>80</v>
      </c>
      <c r="AD21" s="585">
        <f t="shared" si="1"/>
        <v>52.5</v>
      </c>
      <c r="AE21" s="146">
        <v>130</v>
      </c>
      <c r="AF21" s="146">
        <v>30</v>
      </c>
      <c r="AI21" s="576" t="s">
        <v>3648</v>
      </c>
      <c r="AJ21" s="597">
        <v>0</v>
      </c>
      <c r="AK21" s="146"/>
      <c r="AM21" s="584">
        <f t="shared" si="0"/>
        <v>10</v>
      </c>
      <c r="AN21" s="146">
        <v>132</v>
      </c>
      <c r="AO21" s="146" t="s">
        <v>4654</v>
      </c>
    </row>
    <row r="22" spans="2:41" ht="14.25" customHeight="1" x14ac:dyDescent="0.2">
      <c r="B22" s="146"/>
      <c r="C22" s="576">
        <v>1</v>
      </c>
      <c r="D22" s="146">
        <v>1060</v>
      </c>
      <c r="E22" s="584">
        <v>11</v>
      </c>
      <c r="F22" s="146" t="s">
        <v>3380</v>
      </c>
      <c r="G22" s="1680">
        <v>1</v>
      </c>
      <c r="H22" s="1681">
        <v>140</v>
      </c>
      <c r="I22" s="1681">
        <v>1.73</v>
      </c>
      <c r="J22" s="1681">
        <v>0.8</v>
      </c>
      <c r="K22" s="1681">
        <v>1.01</v>
      </c>
      <c r="L22" s="1681">
        <v>0.6</v>
      </c>
      <c r="M22" s="1681">
        <v>1.79</v>
      </c>
      <c r="N22" s="1681">
        <v>0.2</v>
      </c>
      <c r="O22" s="1681">
        <v>0.27</v>
      </c>
      <c r="P22" s="1681">
        <v>20</v>
      </c>
      <c r="Q22" s="1681"/>
      <c r="R22" s="1681"/>
      <c r="S22" s="1681"/>
      <c r="T22" s="1680">
        <v>50</v>
      </c>
      <c r="U22" s="1681">
        <v>10</v>
      </c>
      <c r="V22" s="1681">
        <v>10</v>
      </c>
      <c r="W22" s="1681">
        <v>40</v>
      </c>
      <c r="X22" s="1681">
        <v>15</v>
      </c>
      <c r="Y22" s="595"/>
      <c r="Z22" s="146"/>
      <c r="AB22" s="146">
        <v>25</v>
      </c>
      <c r="AC22" s="146">
        <v>80</v>
      </c>
      <c r="AD22" s="585">
        <f t="shared" si="1"/>
        <v>52.5</v>
      </c>
      <c r="AE22" s="146">
        <v>100</v>
      </c>
      <c r="AF22" s="146">
        <v>30</v>
      </c>
      <c r="AI22" s="576" t="s">
        <v>3648</v>
      </c>
      <c r="AJ22" s="597">
        <v>0</v>
      </c>
      <c r="AK22" s="146"/>
      <c r="AM22" s="584">
        <f t="shared" si="0"/>
        <v>11</v>
      </c>
      <c r="AN22" s="146">
        <v>132</v>
      </c>
      <c r="AO22" s="146" t="s">
        <v>4654</v>
      </c>
    </row>
    <row r="23" spans="2:41" ht="14.25" customHeight="1" x14ac:dyDescent="0.2">
      <c r="B23" s="146"/>
      <c r="C23" s="576">
        <v>1</v>
      </c>
      <c r="D23" s="146">
        <v>1030</v>
      </c>
      <c r="E23" s="584">
        <v>12</v>
      </c>
      <c r="F23" s="146" t="s">
        <v>3381</v>
      </c>
      <c r="G23" s="576">
        <v>1</v>
      </c>
      <c r="H23" s="146">
        <v>170</v>
      </c>
      <c r="I23" s="146">
        <v>1.96</v>
      </c>
      <c r="J23" s="146">
        <v>0.8</v>
      </c>
      <c r="K23" s="146">
        <v>1.07</v>
      </c>
      <c r="L23" s="146">
        <v>0.6</v>
      </c>
      <c r="M23" s="146">
        <v>2.4</v>
      </c>
      <c r="N23" s="146">
        <v>0.2</v>
      </c>
      <c r="O23" s="146">
        <v>0.38</v>
      </c>
      <c r="P23" s="146">
        <v>20</v>
      </c>
      <c r="T23" s="576">
        <v>70</v>
      </c>
      <c r="U23" s="146">
        <v>10</v>
      </c>
      <c r="V23" s="146">
        <v>10</v>
      </c>
      <c r="W23" s="146">
        <v>40</v>
      </c>
      <c r="X23" s="146">
        <v>15</v>
      </c>
      <c r="Y23" s="595"/>
      <c r="Z23" s="146"/>
      <c r="AB23" s="146">
        <v>30</v>
      </c>
      <c r="AC23" s="146">
        <v>85</v>
      </c>
      <c r="AD23" s="585">
        <f t="shared" si="1"/>
        <v>57.5</v>
      </c>
      <c r="AE23" s="146">
        <v>130</v>
      </c>
      <c r="AF23" s="146">
        <v>30</v>
      </c>
      <c r="AI23" s="576" t="s">
        <v>3648</v>
      </c>
      <c r="AJ23" s="597">
        <v>0</v>
      </c>
      <c r="AK23" s="146"/>
      <c r="AM23" s="584">
        <f t="shared" si="0"/>
        <v>12</v>
      </c>
      <c r="AN23" s="146">
        <v>121</v>
      </c>
      <c r="AO23" s="146" t="s">
        <v>4655</v>
      </c>
    </row>
    <row r="24" spans="2:41" ht="14.25" customHeight="1" x14ac:dyDescent="0.2">
      <c r="B24" s="146"/>
      <c r="C24" s="576">
        <v>1</v>
      </c>
      <c r="D24" s="146">
        <v>1040</v>
      </c>
      <c r="E24" s="584">
        <v>13</v>
      </c>
      <c r="F24" s="146" t="s">
        <v>3382</v>
      </c>
      <c r="G24" s="1680">
        <v>1</v>
      </c>
      <c r="H24" s="1681">
        <v>170</v>
      </c>
      <c r="I24" s="1681">
        <v>1.96</v>
      </c>
      <c r="J24" s="1681">
        <v>0.8</v>
      </c>
      <c r="K24" s="1681">
        <v>1.07</v>
      </c>
      <c r="L24" s="1681">
        <v>0.6</v>
      </c>
      <c r="M24" s="1681">
        <v>2.4</v>
      </c>
      <c r="N24" s="1681">
        <v>0.2</v>
      </c>
      <c r="O24" s="1681">
        <v>0.38</v>
      </c>
      <c r="P24" s="1681">
        <v>20</v>
      </c>
      <c r="Q24" s="1681"/>
      <c r="R24" s="1681"/>
      <c r="S24" s="1681"/>
      <c r="T24" s="1680">
        <v>55</v>
      </c>
      <c r="U24" s="1681">
        <v>10</v>
      </c>
      <c r="V24" s="1681">
        <v>10</v>
      </c>
      <c r="W24" s="1681">
        <v>40</v>
      </c>
      <c r="X24" s="1681">
        <v>15</v>
      </c>
      <c r="Y24" s="1682"/>
      <c r="Z24" s="1681"/>
      <c r="AB24" s="146">
        <v>25</v>
      </c>
      <c r="AC24" s="146">
        <v>80</v>
      </c>
      <c r="AD24" s="585">
        <f t="shared" si="1"/>
        <v>52.5</v>
      </c>
      <c r="AE24" s="146">
        <v>110</v>
      </c>
      <c r="AF24" s="146">
        <v>30</v>
      </c>
      <c r="AI24" s="576" t="s">
        <v>3648</v>
      </c>
      <c r="AJ24" s="597">
        <v>0</v>
      </c>
      <c r="AK24" s="146"/>
      <c r="AM24" s="584">
        <f t="shared" si="0"/>
        <v>13</v>
      </c>
      <c r="AN24" s="146">
        <v>122</v>
      </c>
      <c r="AO24" s="146" t="s">
        <v>4656</v>
      </c>
    </row>
    <row r="25" spans="2:41" ht="14.25" customHeight="1" x14ac:dyDescent="0.2">
      <c r="B25" s="146"/>
      <c r="C25" s="576">
        <v>1</v>
      </c>
      <c r="D25" s="146">
        <v>1080</v>
      </c>
      <c r="E25" s="584">
        <v>14</v>
      </c>
      <c r="F25" s="146" t="s">
        <v>3383</v>
      </c>
      <c r="G25" s="576">
        <v>1</v>
      </c>
      <c r="H25" s="146">
        <v>130</v>
      </c>
      <c r="I25" s="146">
        <v>2.06</v>
      </c>
      <c r="J25" s="146">
        <v>0.8</v>
      </c>
      <c r="K25" s="146">
        <v>1.1299999999999999</v>
      </c>
      <c r="L25" s="146">
        <v>0.6</v>
      </c>
      <c r="M25" s="146">
        <v>2.4700000000000002</v>
      </c>
      <c r="N25" s="146">
        <v>0.2</v>
      </c>
      <c r="O25" s="146">
        <v>0.42</v>
      </c>
      <c r="P25" s="146">
        <v>20</v>
      </c>
      <c r="T25" s="576">
        <v>55</v>
      </c>
      <c r="U25" s="146">
        <v>10</v>
      </c>
      <c r="V25" s="146">
        <v>10</v>
      </c>
      <c r="W25" s="146">
        <v>40</v>
      </c>
      <c r="X25" s="146">
        <v>15</v>
      </c>
      <c r="Y25" s="595"/>
      <c r="Z25" s="146"/>
      <c r="AB25" s="146">
        <v>25</v>
      </c>
      <c r="AC25" s="146">
        <v>80</v>
      </c>
      <c r="AD25" s="585">
        <f t="shared" si="1"/>
        <v>52.5</v>
      </c>
      <c r="AE25" s="146">
        <v>110</v>
      </c>
      <c r="AF25" s="146">
        <v>30</v>
      </c>
      <c r="AI25" s="576" t="s">
        <v>3648</v>
      </c>
      <c r="AJ25" s="597">
        <v>0</v>
      </c>
      <c r="AK25" s="146"/>
      <c r="AM25" s="584">
        <f t="shared" si="0"/>
        <v>14</v>
      </c>
      <c r="AN25" s="593" t="s">
        <v>4657</v>
      </c>
      <c r="AO25" s="146" t="s">
        <v>4660</v>
      </c>
    </row>
    <row r="26" spans="2:41" ht="14.25" customHeight="1" x14ac:dyDescent="0.2">
      <c r="B26" s="146"/>
      <c r="C26" s="576">
        <v>1</v>
      </c>
      <c r="D26" s="146">
        <v>1120</v>
      </c>
      <c r="E26" s="584">
        <v>15</v>
      </c>
      <c r="F26" s="146" t="s">
        <v>3596</v>
      </c>
      <c r="G26" s="576">
        <v>1</v>
      </c>
      <c r="H26" s="146">
        <v>190</v>
      </c>
      <c r="I26" s="146">
        <v>2.2400000000000002</v>
      </c>
      <c r="J26" s="146">
        <v>0.8</v>
      </c>
      <c r="K26" s="146">
        <v>1.07</v>
      </c>
      <c r="L26" s="146">
        <v>0.6</v>
      </c>
      <c r="M26" s="146">
        <v>2.13</v>
      </c>
      <c r="N26" s="146">
        <v>0.2</v>
      </c>
      <c r="O26" s="146">
        <v>0.38</v>
      </c>
      <c r="P26" s="146">
        <v>20</v>
      </c>
      <c r="T26" s="576">
        <v>70</v>
      </c>
      <c r="U26" s="146">
        <v>10</v>
      </c>
      <c r="V26" s="146">
        <v>10</v>
      </c>
      <c r="W26" s="146">
        <v>40</v>
      </c>
      <c r="X26" s="146">
        <v>15</v>
      </c>
      <c r="Y26" s="595"/>
      <c r="Z26" s="146"/>
      <c r="AB26" s="146">
        <v>30</v>
      </c>
      <c r="AC26" s="146">
        <v>90</v>
      </c>
      <c r="AD26" s="585">
        <f t="shared" si="1"/>
        <v>60</v>
      </c>
      <c r="AE26" s="146">
        <v>150</v>
      </c>
      <c r="AF26" s="146">
        <v>30</v>
      </c>
      <c r="AI26" s="576" t="s">
        <v>3648</v>
      </c>
      <c r="AJ26" s="597">
        <v>0</v>
      </c>
      <c r="AK26" s="146"/>
      <c r="AM26" s="584">
        <f t="shared" si="0"/>
        <v>15</v>
      </c>
      <c r="AN26" s="146">
        <v>156</v>
      </c>
      <c r="AO26" s="146" t="s">
        <v>4658</v>
      </c>
    </row>
    <row r="27" spans="2:41" ht="14.25" customHeight="1" x14ac:dyDescent="0.2">
      <c r="B27" s="146"/>
      <c r="C27" s="576">
        <v>1</v>
      </c>
      <c r="D27" s="146">
        <v>1170</v>
      </c>
      <c r="E27" s="584">
        <v>16</v>
      </c>
      <c r="F27" s="146" t="s">
        <v>3384</v>
      </c>
      <c r="G27" s="1680">
        <v>1</v>
      </c>
      <c r="H27" s="1681">
        <v>170</v>
      </c>
      <c r="I27" s="1681">
        <v>2.1</v>
      </c>
      <c r="J27" s="1681">
        <v>0.8</v>
      </c>
      <c r="K27" s="1681">
        <v>1.1000000000000001</v>
      </c>
      <c r="L27" s="1681">
        <v>0.8</v>
      </c>
      <c r="M27" s="1681">
        <v>2.5</v>
      </c>
      <c r="N27" s="1681">
        <v>0.2</v>
      </c>
      <c r="O27" s="1681">
        <v>0.36</v>
      </c>
      <c r="P27" s="1681">
        <v>20</v>
      </c>
      <c r="Q27" s="1681"/>
      <c r="R27" s="1681"/>
      <c r="S27" s="1681"/>
      <c r="T27" s="1680">
        <v>60</v>
      </c>
      <c r="U27" s="1681">
        <v>10</v>
      </c>
      <c r="V27" s="1681">
        <v>10</v>
      </c>
      <c r="W27" s="1681">
        <v>40</v>
      </c>
      <c r="X27" s="1681">
        <v>15</v>
      </c>
      <c r="Y27" s="1682"/>
      <c r="Z27" s="146"/>
      <c r="AB27" s="146">
        <v>25</v>
      </c>
      <c r="AC27" s="146">
        <v>90</v>
      </c>
      <c r="AD27" s="585">
        <f t="shared" si="1"/>
        <v>57.5</v>
      </c>
      <c r="AE27" s="146">
        <v>180</v>
      </c>
      <c r="AF27" s="146">
        <v>30</v>
      </c>
      <c r="AI27" s="576" t="s">
        <v>3648</v>
      </c>
      <c r="AJ27" s="597">
        <v>0</v>
      </c>
      <c r="AK27" s="146"/>
      <c r="AM27" s="584">
        <f t="shared" si="0"/>
        <v>16</v>
      </c>
      <c r="AN27" s="146">
        <v>114</v>
      </c>
      <c r="AO27" s="146" t="s">
        <v>4659</v>
      </c>
    </row>
    <row r="28" spans="2:41" ht="14.25" customHeight="1" x14ac:dyDescent="0.2">
      <c r="B28" s="146"/>
      <c r="C28" s="576">
        <v>1</v>
      </c>
      <c r="D28" s="146">
        <v>1110</v>
      </c>
      <c r="E28" s="584">
        <v>17</v>
      </c>
      <c r="F28" s="146" t="s">
        <v>3385</v>
      </c>
      <c r="G28" s="576">
        <v>1</v>
      </c>
      <c r="H28" s="146">
        <v>200</v>
      </c>
      <c r="I28" s="146">
        <v>2.66</v>
      </c>
      <c r="J28" s="146">
        <v>0.8</v>
      </c>
      <c r="K28" s="146">
        <v>1.04</v>
      </c>
      <c r="L28" s="146">
        <v>0.6</v>
      </c>
      <c r="M28" s="146">
        <v>1.96</v>
      </c>
      <c r="N28" s="146">
        <v>0.2</v>
      </c>
      <c r="O28" s="146">
        <v>0.36</v>
      </c>
      <c r="P28" s="146">
        <v>20</v>
      </c>
      <c r="T28" s="576">
        <v>55</v>
      </c>
      <c r="U28" s="146">
        <v>10</v>
      </c>
      <c r="V28" s="146">
        <v>10</v>
      </c>
      <c r="W28" s="146">
        <v>40</v>
      </c>
      <c r="X28" s="146">
        <v>15</v>
      </c>
      <c r="Y28" s="595"/>
      <c r="Z28" s="146"/>
      <c r="AB28" s="146">
        <v>25</v>
      </c>
      <c r="AC28" s="146">
        <v>80</v>
      </c>
      <c r="AD28" s="585">
        <f t="shared" si="1"/>
        <v>52.5</v>
      </c>
      <c r="AE28" s="146">
        <v>160</v>
      </c>
      <c r="AF28" s="146">
        <v>60</v>
      </c>
      <c r="AI28" s="576" t="s">
        <v>3648</v>
      </c>
      <c r="AJ28" s="597">
        <v>0</v>
      </c>
      <c r="AK28" s="146"/>
      <c r="AM28" s="584">
        <f t="shared" si="0"/>
        <v>17</v>
      </c>
      <c r="AN28" s="593" t="s">
        <v>4661</v>
      </c>
      <c r="AO28" s="146" t="s">
        <v>4662</v>
      </c>
    </row>
    <row r="29" spans="2:41" ht="14.25" customHeight="1" x14ac:dyDescent="0.2">
      <c r="B29" s="146"/>
      <c r="C29" s="576">
        <v>1</v>
      </c>
      <c r="D29" s="146">
        <v>1090</v>
      </c>
      <c r="E29" s="584">
        <v>18</v>
      </c>
      <c r="F29" s="146" t="s">
        <v>4771</v>
      </c>
      <c r="G29" s="1680">
        <v>1</v>
      </c>
      <c r="H29" s="1681">
        <v>100</v>
      </c>
      <c r="I29" s="1681">
        <v>2.06</v>
      </c>
      <c r="J29" s="1681">
        <v>0.8</v>
      </c>
      <c r="K29" s="1681">
        <v>1.1000000000000001</v>
      </c>
      <c r="L29" s="1681">
        <v>0.6</v>
      </c>
      <c r="M29" s="1681">
        <v>2.2999999999999998</v>
      </c>
      <c r="N29" s="1681">
        <v>0.2</v>
      </c>
      <c r="O29" s="1681">
        <v>0.32</v>
      </c>
      <c r="P29" s="1681">
        <v>20</v>
      </c>
      <c r="Q29" s="1681"/>
      <c r="R29" s="1681"/>
      <c r="S29" s="1681"/>
      <c r="T29" s="1680">
        <v>70</v>
      </c>
      <c r="U29" s="1681">
        <v>10</v>
      </c>
      <c r="V29" s="1681">
        <v>10</v>
      </c>
      <c r="W29" s="1681">
        <v>40</v>
      </c>
      <c r="X29" s="1681">
        <v>15</v>
      </c>
      <c r="Y29" s="1682"/>
      <c r="Z29" s="146"/>
      <c r="AB29" s="146">
        <v>25</v>
      </c>
      <c r="AC29" s="146">
        <v>80</v>
      </c>
      <c r="AD29" s="585">
        <f t="shared" si="1"/>
        <v>52.5</v>
      </c>
      <c r="AE29" s="146">
        <v>110</v>
      </c>
      <c r="AF29" s="146">
        <v>30</v>
      </c>
      <c r="AI29" s="576" t="s">
        <v>3648</v>
      </c>
      <c r="AJ29" s="597">
        <v>0</v>
      </c>
      <c r="AK29" s="146"/>
      <c r="AM29" s="584">
        <f t="shared" si="0"/>
        <v>18</v>
      </c>
      <c r="AN29" s="593" t="s">
        <v>4664</v>
      </c>
      <c r="AO29" s="146" t="s">
        <v>4663</v>
      </c>
    </row>
    <row r="30" spans="2:41" ht="14.25" customHeight="1" x14ac:dyDescent="0.2">
      <c r="B30" s="146"/>
      <c r="C30" s="576">
        <v>1</v>
      </c>
      <c r="D30" s="958">
        <v>7129</v>
      </c>
      <c r="E30" s="584">
        <v>19</v>
      </c>
      <c r="F30" s="146" t="s">
        <v>4781</v>
      </c>
      <c r="G30" s="576">
        <v>1</v>
      </c>
      <c r="H30" s="958">
        <v>180</v>
      </c>
      <c r="I30" s="1713">
        <v>0.24</v>
      </c>
      <c r="J30" s="146">
        <v>0.11</v>
      </c>
      <c r="K30" s="146">
        <v>0.11</v>
      </c>
      <c r="L30" s="146">
        <v>0.62</v>
      </c>
      <c r="M30" s="146">
        <v>0.62</v>
      </c>
      <c r="N30" s="146">
        <v>0.12</v>
      </c>
      <c r="O30" s="146">
        <v>0.12</v>
      </c>
      <c r="P30" s="1713">
        <v>70</v>
      </c>
      <c r="T30" s="1714">
        <v>550</v>
      </c>
      <c r="U30" s="146">
        <v>50</v>
      </c>
      <c r="V30" s="146">
        <v>10</v>
      </c>
      <c r="W30" s="146">
        <v>40</v>
      </c>
      <c r="X30" s="146">
        <v>15</v>
      </c>
      <c r="Y30" s="595"/>
      <c r="Z30" s="146"/>
      <c r="AB30" s="146">
        <v>200</v>
      </c>
      <c r="AC30" s="146">
        <v>550</v>
      </c>
      <c r="AD30" s="585">
        <f t="shared" si="1"/>
        <v>375</v>
      </c>
      <c r="AE30" s="146">
        <v>180</v>
      </c>
      <c r="AF30" s="146">
        <v>100</v>
      </c>
      <c r="AI30" s="576" t="s">
        <v>3648</v>
      </c>
      <c r="AJ30" s="597">
        <v>0</v>
      </c>
      <c r="AK30" s="146"/>
      <c r="AM30" s="584">
        <f t="shared" si="0"/>
        <v>19</v>
      </c>
      <c r="AO30" s="146" t="s">
        <v>4781</v>
      </c>
    </row>
    <row r="31" spans="2:41" ht="14.25" customHeight="1" x14ac:dyDescent="0.2">
      <c r="B31" s="146"/>
      <c r="C31" s="576">
        <v>1</v>
      </c>
      <c r="D31" s="146">
        <v>2010</v>
      </c>
      <c r="E31" s="584">
        <v>20</v>
      </c>
      <c r="F31" s="146" t="s">
        <v>3387</v>
      </c>
      <c r="G31" s="576">
        <v>1</v>
      </c>
      <c r="H31" s="146">
        <v>200</v>
      </c>
      <c r="I31" s="146">
        <v>4.54</v>
      </c>
      <c r="J31" s="146">
        <v>1.8</v>
      </c>
      <c r="K31" s="146">
        <v>2.48</v>
      </c>
      <c r="L31" s="146">
        <v>1</v>
      </c>
      <c r="M31" s="146">
        <v>5.25</v>
      </c>
      <c r="N31" s="146">
        <v>0.5</v>
      </c>
      <c r="O31" s="146">
        <v>1.2</v>
      </c>
      <c r="P31" s="146">
        <v>50</v>
      </c>
      <c r="T31" s="576">
        <v>40</v>
      </c>
      <c r="U31" s="146">
        <v>5</v>
      </c>
      <c r="V31" s="146">
        <v>10</v>
      </c>
      <c r="W31" s="146">
        <v>40</v>
      </c>
      <c r="X31" s="146">
        <v>15</v>
      </c>
      <c r="Y31" s="595"/>
      <c r="Z31" s="146"/>
      <c r="AB31" s="146">
        <v>15</v>
      </c>
      <c r="AC31" s="146">
        <v>50</v>
      </c>
      <c r="AD31" s="585">
        <f t="shared" si="1"/>
        <v>32.5</v>
      </c>
      <c r="AE31" s="146">
        <v>190</v>
      </c>
      <c r="AF31" s="146">
        <v>30</v>
      </c>
      <c r="AI31" s="576" t="s">
        <v>3648</v>
      </c>
      <c r="AJ31" s="597">
        <v>0</v>
      </c>
      <c r="AK31" s="146"/>
      <c r="AM31" s="584">
        <f t="shared" si="0"/>
        <v>20</v>
      </c>
      <c r="AN31" s="146">
        <v>311</v>
      </c>
      <c r="AO31" s="146" t="s">
        <v>3387</v>
      </c>
    </row>
    <row r="32" spans="2:41" ht="14.25" customHeight="1" x14ac:dyDescent="0.2">
      <c r="B32" s="146"/>
      <c r="C32" s="576">
        <v>1</v>
      </c>
      <c r="D32" s="146">
        <v>2045</v>
      </c>
      <c r="E32" s="584">
        <v>21</v>
      </c>
      <c r="F32" s="146" t="s">
        <v>3388</v>
      </c>
      <c r="G32" s="1680">
        <v>1</v>
      </c>
      <c r="H32" s="1681">
        <v>205</v>
      </c>
      <c r="I32" s="1681">
        <v>6.13</v>
      </c>
      <c r="J32" s="1681">
        <v>1.77</v>
      </c>
      <c r="K32" s="1681">
        <v>2.37</v>
      </c>
      <c r="L32" s="1681">
        <v>0.93</v>
      </c>
      <c r="M32" s="1681">
        <v>4.68</v>
      </c>
      <c r="N32" s="1681">
        <v>0.3</v>
      </c>
      <c r="O32" s="1681">
        <v>0.53</v>
      </c>
      <c r="P32" s="1681">
        <v>20</v>
      </c>
      <c r="Q32" s="1681"/>
      <c r="R32" s="1681"/>
      <c r="S32" s="1681"/>
      <c r="T32" s="1680">
        <v>30</v>
      </c>
      <c r="U32" s="1681">
        <v>5</v>
      </c>
      <c r="V32" s="1681">
        <v>10</v>
      </c>
      <c r="W32" s="1681">
        <v>40</v>
      </c>
      <c r="X32" s="1681">
        <v>15</v>
      </c>
      <c r="Y32" s="1682"/>
      <c r="Z32" s="146"/>
      <c r="AB32" s="146">
        <v>15</v>
      </c>
      <c r="AC32" s="146">
        <v>25</v>
      </c>
      <c r="AD32" s="585">
        <f t="shared" si="1"/>
        <v>20</v>
      </c>
      <c r="AE32" s="146">
        <v>150</v>
      </c>
      <c r="AF32" s="146">
        <v>30</v>
      </c>
      <c r="AI32" s="576" t="s">
        <v>3648</v>
      </c>
      <c r="AJ32" s="597">
        <v>0</v>
      </c>
      <c r="AK32" s="146"/>
      <c r="AM32" s="584">
        <f t="shared" si="0"/>
        <v>21</v>
      </c>
      <c r="AN32" s="146">
        <v>390</v>
      </c>
      <c r="AO32" s="146" t="s">
        <v>4665</v>
      </c>
    </row>
    <row r="33" spans="2:41" ht="14.25" customHeight="1" x14ac:dyDescent="0.2">
      <c r="B33" s="146"/>
      <c r="C33" s="576">
        <v>1</v>
      </c>
      <c r="D33" s="146">
        <v>2020</v>
      </c>
      <c r="E33" s="584">
        <v>22</v>
      </c>
      <c r="F33" s="146" t="s">
        <v>3389</v>
      </c>
      <c r="G33" s="1680">
        <v>1</v>
      </c>
      <c r="H33" s="1681">
        <v>180</v>
      </c>
      <c r="I33" s="1681">
        <v>4.54</v>
      </c>
      <c r="J33" s="1681">
        <v>1.8</v>
      </c>
      <c r="K33" s="1681">
        <v>2.48</v>
      </c>
      <c r="L33" s="1681">
        <v>1</v>
      </c>
      <c r="M33" s="1681">
        <v>5.25</v>
      </c>
      <c r="N33" s="1681">
        <v>0.5</v>
      </c>
      <c r="O33" s="1681">
        <v>1.2</v>
      </c>
      <c r="P33" s="1681">
        <v>50</v>
      </c>
      <c r="Q33" s="1681"/>
      <c r="R33" s="1681"/>
      <c r="S33" s="1681"/>
      <c r="T33" s="1680">
        <v>35</v>
      </c>
      <c r="U33" s="1681">
        <v>5</v>
      </c>
      <c r="V33" s="1681">
        <v>10</v>
      </c>
      <c r="W33" s="1681">
        <v>40</v>
      </c>
      <c r="X33" s="1681">
        <v>15</v>
      </c>
      <c r="Y33" s="595"/>
      <c r="Z33" s="146"/>
      <c r="AB33" s="146">
        <v>10</v>
      </c>
      <c r="AC33" s="146">
        <v>35</v>
      </c>
      <c r="AD33" s="585">
        <f t="shared" si="1"/>
        <v>22.5</v>
      </c>
      <c r="AE33" s="146">
        <v>140</v>
      </c>
      <c r="AF33" s="146">
        <v>30</v>
      </c>
      <c r="AI33" s="576" t="s">
        <v>3648</v>
      </c>
      <c r="AJ33" s="597">
        <v>0</v>
      </c>
      <c r="AK33" s="146"/>
      <c r="AM33" s="584">
        <f t="shared" si="0"/>
        <v>22</v>
      </c>
      <c r="AN33" s="146">
        <v>312</v>
      </c>
      <c r="AO33" s="146" t="s">
        <v>3389</v>
      </c>
    </row>
    <row r="34" spans="2:41" ht="14.25" customHeight="1" x14ac:dyDescent="0.2">
      <c r="B34" s="146"/>
      <c r="C34" s="576">
        <v>1</v>
      </c>
      <c r="D34" s="146">
        <v>2070</v>
      </c>
      <c r="E34" s="584">
        <v>23</v>
      </c>
      <c r="F34" s="146" t="s">
        <v>3390</v>
      </c>
      <c r="G34" s="576">
        <v>1</v>
      </c>
      <c r="H34" s="146">
        <v>120</v>
      </c>
      <c r="I34" s="146">
        <v>4.91</v>
      </c>
      <c r="J34" s="146">
        <v>1.6</v>
      </c>
      <c r="K34" s="146">
        <v>3.4</v>
      </c>
      <c r="L34" s="146">
        <v>2.4</v>
      </c>
      <c r="M34" s="146">
        <v>12.4</v>
      </c>
      <c r="N34" s="146">
        <v>0.7</v>
      </c>
      <c r="O34" s="146">
        <v>1.2</v>
      </c>
      <c r="P34" s="146">
        <v>20</v>
      </c>
      <c r="T34" s="576">
        <v>30</v>
      </c>
      <c r="U34" s="146">
        <v>5</v>
      </c>
      <c r="V34" s="146">
        <v>10</v>
      </c>
      <c r="W34" s="146">
        <v>40</v>
      </c>
      <c r="X34" s="146">
        <v>15</v>
      </c>
      <c r="Y34" s="595"/>
      <c r="Z34" s="146"/>
      <c r="AB34" s="146">
        <v>15</v>
      </c>
      <c r="AC34" s="146">
        <v>35</v>
      </c>
      <c r="AD34" s="585">
        <f t="shared" si="1"/>
        <v>25</v>
      </c>
      <c r="AE34" s="146">
        <v>80</v>
      </c>
      <c r="AF34" s="146">
        <v>30</v>
      </c>
      <c r="AI34" s="576" t="s">
        <v>3648</v>
      </c>
      <c r="AJ34" s="597">
        <v>0</v>
      </c>
      <c r="AK34" s="146"/>
      <c r="AM34" s="584">
        <f t="shared" si="0"/>
        <v>23</v>
      </c>
      <c r="AN34" s="146">
        <v>320</v>
      </c>
      <c r="AO34" s="146" t="s">
        <v>4666</v>
      </c>
    </row>
    <row r="35" spans="2:41" ht="14.25" customHeight="1" x14ac:dyDescent="0.2">
      <c r="B35" s="146"/>
      <c r="C35" s="576">
        <v>1</v>
      </c>
      <c r="D35" s="146">
        <v>2300</v>
      </c>
      <c r="E35" s="584">
        <v>24</v>
      </c>
      <c r="F35" s="146" t="s">
        <v>3391</v>
      </c>
      <c r="G35" s="576">
        <v>1</v>
      </c>
      <c r="H35" s="146">
        <v>100</v>
      </c>
      <c r="I35" s="146">
        <v>4.3</v>
      </c>
      <c r="J35" s="146">
        <v>1.2</v>
      </c>
      <c r="K35" s="146">
        <v>1.5</v>
      </c>
      <c r="L35" s="146">
        <v>1</v>
      </c>
      <c r="M35" s="146">
        <v>3.1</v>
      </c>
      <c r="N35" s="146">
        <v>0.8</v>
      </c>
      <c r="O35" s="146">
        <v>0.95</v>
      </c>
      <c r="P35" s="146">
        <v>20</v>
      </c>
      <c r="T35" s="576">
        <v>20</v>
      </c>
      <c r="U35" s="146">
        <v>5</v>
      </c>
      <c r="V35" s="146">
        <v>10</v>
      </c>
      <c r="W35" s="146">
        <v>40</v>
      </c>
      <c r="X35" s="146">
        <v>10</v>
      </c>
      <c r="Y35" s="595"/>
      <c r="Z35" s="146"/>
      <c r="AB35" s="146">
        <v>10</v>
      </c>
      <c r="AC35" s="146">
        <v>25</v>
      </c>
      <c r="AD35" s="585">
        <f t="shared" si="1"/>
        <v>17.5</v>
      </c>
      <c r="AE35" s="146">
        <v>80</v>
      </c>
      <c r="AF35" s="146">
        <v>30</v>
      </c>
      <c r="AI35" s="576" t="s">
        <v>3648</v>
      </c>
      <c r="AJ35" s="597">
        <v>0</v>
      </c>
      <c r="AK35" s="146"/>
      <c r="AM35" s="584">
        <f t="shared" si="0"/>
        <v>24</v>
      </c>
      <c r="AN35" s="1508">
        <v>341</v>
      </c>
      <c r="AO35" s="1508" t="s">
        <v>4667</v>
      </c>
    </row>
    <row r="36" spans="2:41" ht="14.25" customHeight="1" x14ac:dyDescent="0.2">
      <c r="B36" s="146"/>
      <c r="C36" s="576">
        <v>1</v>
      </c>
      <c r="D36" s="146">
        <v>2050</v>
      </c>
      <c r="E36" s="584">
        <v>25</v>
      </c>
      <c r="F36" s="146" t="s">
        <v>3392</v>
      </c>
      <c r="G36" s="1680">
        <v>1</v>
      </c>
      <c r="H36" s="1681">
        <v>160</v>
      </c>
      <c r="I36" s="1681">
        <v>0.35</v>
      </c>
      <c r="J36" s="1681">
        <v>0.11</v>
      </c>
      <c r="K36" s="1681">
        <v>0.11</v>
      </c>
      <c r="L36" s="1681">
        <v>0.45</v>
      </c>
      <c r="M36" s="1681">
        <v>0.45</v>
      </c>
      <c r="N36" s="1681">
        <v>0.05</v>
      </c>
      <c r="O36" s="1681">
        <v>0.05</v>
      </c>
      <c r="P36" s="1681">
        <v>20</v>
      </c>
      <c r="Q36" s="1681"/>
      <c r="R36" s="1681"/>
      <c r="S36" s="1681"/>
      <c r="T36" s="1680">
        <v>400</v>
      </c>
      <c r="U36" s="1681">
        <v>50</v>
      </c>
      <c r="V36" s="1681">
        <v>10</v>
      </c>
      <c r="W36" s="1681">
        <v>40</v>
      </c>
      <c r="X36" s="1681">
        <v>15</v>
      </c>
      <c r="Y36" s="1682"/>
      <c r="Z36" s="146"/>
      <c r="AB36" s="146">
        <v>100</v>
      </c>
      <c r="AC36" s="146">
        <v>500</v>
      </c>
      <c r="AD36" s="585">
        <f t="shared" si="1"/>
        <v>300</v>
      </c>
      <c r="AE36" s="146">
        <v>90</v>
      </c>
      <c r="AF36" s="146">
        <v>30</v>
      </c>
      <c r="AI36" s="576" t="s">
        <v>3648</v>
      </c>
      <c r="AJ36" s="597">
        <v>0</v>
      </c>
      <c r="AK36" s="146"/>
      <c r="AM36" s="584">
        <f t="shared" si="0"/>
        <v>25</v>
      </c>
      <c r="AN36" s="146">
        <v>315</v>
      </c>
      <c r="AO36" s="146" t="s">
        <v>4668</v>
      </c>
    </row>
    <row r="37" spans="2:41" ht="14.25" customHeight="1" x14ac:dyDescent="0.2">
      <c r="B37" s="146"/>
      <c r="C37" s="576">
        <v>1</v>
      </c>
      <c r="D37" s="146">
        <v>2060</v>
      </c>
      <c r="E37" s="584">
        <v>26</v>
      </c>
      <c r="F37" s="146" t="s">
        <v>3393</v>
      </c>
      <c r="G37" s="1680">
        <v>1</v>
      </c>
      <c r="H37" s="1681">
        <v>160</v>
      </c>
      <c r="I37" s="1681">
        <v>0.35</v>
      </c>
      <c r="J37" s="1681">
        <v>0.11</v>
      </c>
      <c r="K37" s="1681">
        <v>0.11</v>
      </c>
      <c r="L37" s="1681">
        <v>0.45</v>
      </c>
      <c r="M37" s="1681">
        <v>0.45</v>
      </c>
      <c r="N37" s="1681">
        <v>0.05</v>
      </c>
      <c r="O37" s="1681">
        <v>0.05</v>
      </c>
      <c r="P37" s="1681">
        <v>20</v>
      </c>
      <c r="Q37" s="1681"/>
      <c r="R37" s="1681"/>
      <c r="S37" s="1681"/>
      <c r="T37" s="1680">
        <v>400</v>
      </c>
      <c r="U37" s="1681">
        <v>50</v>
      </c>
      <c r="V37" s="1681">
        <v>10</v>
      </c>
      <c r="W37" s="1681">
        <v>40</v>
      </c>
      <c r="X37" s="1681">
        <v>15</v>
      </c>
      <c r="Y37" s="595"/>
      <c r="Z37" s="146"/>
      <c r="AB37" s="146">
        <v>100</v>
      </c>
      <c r="AC37" s="146">
        <v>500</v>
      </c>
      <c r="AD37" s="585">
        <f t="shared" si="1"/>
        <v>300</v>
      </c>
      <c r="AE37" s="146">
        <v>90</v>
      </c>
      <c r="AF37" s="146">
        <v>30</v>
      </c>
      <c r="AI37" s="576" t="s">
        <v>3648</v>
      </c>
      <c r="AJ37" s="597">
        <v>0</v>
      </c>
      <c r="AK37" s="146"/>
      <c r="AM37" s="584">
        <f t="shared" si="0"/>
        <v>26</v>
      </c>
      <c r="AN37" s="146">
        <v>316</v>
      </c>
      <c r="AO37" s="146" t="s">
        <v>4669</v>
      </c>
    </row>
    <row r="38" spans="2:41" ht="14.25" customHeight="1" x14ac:dyDescent="0.2">
      <c r="B38" s="146"/>
      <c r="C38" s="576">
        <v>1</v>
      </c>
      <c r="D38" s="146">
        <v>2030</v>
      </c>
      <c r="E38" s="584">
        <v>27</v>
      </c>
      <c r="F38" s="146" t="s">
        <v>3394</v>
      </c>
      <c r="G38" s="1680">
        <v>1</v>
      </c>
      <c r="H38" s="1681">
        <v>160</v>
      </c>
      <c r="I38" s="1681">
        <v>0.35</v>
      </c>
      <c r="J38" s="1681">
        <v>0.11</v>
      </c>
      <c r="K38" s="1681">
        <v>0.11</v>
      </c>
      <c r="L38" s="1681">
        <v>0.45</v>
      </c>
      <c r="M38" s="1681">
        <v>0.45</v>
      </c>
      <c r="N38" s="1681">
        <v>0.05</v>
      </c>
      <c r="O38" s="1681">
        <v>0.05</v>
      </c>
      <c r="P38" s="1681">
        <v>20</v>
      </c>
      <c r="Q38" s="1681"/>
      <c r="R38" s="1681"/>
      <c r="S38" s="1681"/>
      <c r="T38" s="1680">
        <v>400</v>
      </c>
      <c r="U38" s="1681">
        <v>50</v>
      </c>
      <c r="V38" s="1681">
        <v>10</v>
      </c>
      <c r="W38" s="1681">
        <v>40</v>
      </c>
      <c r="X38" s="1681">
        <v>15</v>
      </c>
      <c r="Y38" s="1682"/>
      <c r="Z38" s="146"/>
      <c r="AB38" s="146">
        <v>100</v>
      </c>
      <c r="AC38" s="146">
        <v>500</v>
      </c>
      <c r="AD38" s="585">
        <f t="shared" si="1"/>
        <v>300</v>
      </c>
      <c r="AE38" s="146">
        <v>90</v>
      </c>
      <c r="AF38" s="146">
        <v>30</v>
      </c>
      <c r="AI38" s="576" t="s">
        <v>3648</v>
      </c>
      <c r="AJ38" s="597">
        <v>0</v>
      </c>
      <c r="AK38" s="146"/>
      <c r="AM38" s="584">
        <f t="shared" si="0"/>
        <v>27</v>
      </c>
      <c r="AN38" s="1508"/>
      <c r="AO38" s="1508"/>
    </row>
    <row r="39" spans="2:41" ht="14.25" customHeight="1" x14ac:dyDescent="0.2">
      <c r="B39" s="146"/>
      <c r="C39" s="576">
        <v>1</v>
      </c>
      <c r="D39" s="146">
        <v>5060</v>
      </c>
      <c r="E39" s="584">
        <v>28</v>
      </c>
      <c r="F39" s="146" t="s">
        <v>3395</v>
      </c>
      <c r="G39" s="1037">
        <v>1</v>
      </c>
      <c r="H39" s="1038">
        <v>0</v>
      </c>
      <c r="I39" s="146">
        <v>5.6</v>
      </c>
      <c r="J39" s="146">
        <v>1.2</v>
      </c>
      <c r="K39" s="146">
        <v>1.5</v>
      </c>
      <c r="L39" s="146">
        <v>1.4</v>
      </c>
      <c r="M39" s="146">
        <v>4</v>
      </c>
      <c r="N39" s="146">
        <v>0.2</v>
      </c>
      <c r="O39" s="146">
        <v>0.5</v>
      </c>
      <c r="P39" s="146">
        <v>0</v>
      </c>
      <c r="T39" s="1037">
        <v>40</v>
      </c>
      <c r="U39" s="1038">
        <v>0</v>
      </c>
      <c r="V39" s="1038">
        <v>0</v>
      </c>
      <c r="W39" s="1038">
        <v>0</v>
      </c>
      <c r="X39" s="1038">
        <v>0</v>
      </c>
      <c r="Y39" s="595"/>
      <c r="Z39" s="146"/>
      <c r="AB39" s="146">
        <v>10</v>
      </c>
      <c r="AC39" s="146">
        <v>50</v>
      </c>
      <c r="AD39" s="585">
        <f t="shared" si="1"/>
        <v>30</v>
      </c>
      <c r="AE39" s="146">
        <v>0</v>
      </c>
      <c r="AF39" s="146">
        <v>0</v>
      </c>
      <c r="AI39" s="576" t="s">
        <v>3648</v>
      </c>
      <c r="AJ39" s="597" t="s">
        <v>3649</v>
      </c>
      <c r="AK39" s="146"/>
      <c r="AM39" s="584">
        <f t="shared" si="0"/>
        <v>28</v>
      </c>
      <c r="AN39" s="146">
        <v>220</v>
      </c>
      <c r="AO39" s="146" t="s">
        <v>4670</v>
      </c>
    </row>
    <row r="40" spans="2:41" ht="14.25" customHeight="1" x14ac:dyDescent="0.2">
      <c r="B40" s="146"/>
      <c r="C40" s="576">
        <v>1</v>
      </c>
      <c r="D40" s="146">
        <v>5030</v>
      </c>
      <c r="E40" s="584">
        <v>29</v>
      </c>
      <c r="F40" s="146" t="s">
        <v>3396</v>
      </c>
      <c r="G40" s="1037">
        <v>1</v>
      </c>
      <c r="H40" s="1038">
        <v>0</v>
      </c>
      <c r="I40" s="146">
        <v>5.6</v>
      </c>
      <c r="J40" s="146">
        <v>1.2</v>
      </c>
      <c r="K40" s="146">
        <v>1.5</v>
      </c>
      <c r="L40" s="146">
        <v>1.4</v>
      </c>
      <c r="M40" s="146">
        <v>4</v>
      </c>
      <c r="N40" s="146">
        <v>0.04</v>
      </c>
      <c r="O40" s="146">
        <v>0.37</v>
      </c>
      <c r="P40" s="146">
        <v>0</v>
      </c>
      <c r="T40" s="1037">
        <v>40</v>
      </c>
      <c r="U40" s="1038">
        <v>0</v>
      </c>
      <c r="V40" s="1038">
        <v>0</v>
      </c>
      <c r="W40" s="1038">
        <v>0</v>
      </c>
      <c r="X40" s="1038">
        <v>0</v>
      </c>
      <c r="Y40" s="595"/>
      <c r="Z40" s="146"/>
      <c r="AB40" s="146">
        <v>10</v>
      </c>
      <c r="AC40" s="146">
        <v>50</v>
      </c>
      <c r="AD40" s="585">
        <f t="shared" si="1"/>
        <v>30</v>
      </c>
      <c r="AE40" s="146">
        <v>0</v>
      </c>
      <c r="AF40" s="146">
        <v>0</v>
      </c>
      <c r="AI40" s="576" t="s">
        <v>3648</v>
      </c>
      <c r="AJ40" s="597" t="s">
        <v>3649</v>
      </c>
      <c r="AK40" s="146"/>
      <c r="AM40" s="584">
        <f t="shared" si="0"/>
        <v>29</v>
      </c>
      <c r="AN40" s="1508"/>
      <c r="AO40" s="1508"/>
    </row>
    <row r="41" spans="2:41" ht="14.25" customHeight="1" x14ac:dyDescent="0.2">
      <c r="B41" s="146"/>
      <c r="C41" s="576">
        <v>1</v>
      </c>
      <c r="D41" s="146">
        <v>5010</v>
      </c>
      <c r="E41" s="584">
        <v>30</v>
      </c>
      <c r="F41" s="146" t="s">
        <v>3397</v>
      </c>
      <c r="G41" s="1037">
        <v>1</v>
      </c>
      <c r="H41" s="1038">
        <v>0</v>
      </c>
      <c r="I41" s="146">
        <v>5.0999999999999996</v>
      </c>
      <c r="J41" s="146">
        <v>1.1000000000000001</v>
      </c>
      <c r="K41" s="146">
        <v>1.4</v>
      </c>
      <c r="L41" s="146">
        <v>1.4</v>
      </c>
      <c r="M41" s="146">
        <v>4</v>
      </c>
      <c r="N41" s="146">
        <v>0.2</v>
      </c>
      <c r="O41" s="146">
        <v>0.5</v>
      </c>
      <c r="P41" s="146">
        <v>0</v>
      </c>
      <c r="T41" s="1037">
        <v>40</v>
      </c>
      <c r="U41" s="1038">
        <v>0</v>
      </c>
      <c r="V41" s="1038">
        <v>0</v>
      </c>
      <c r="W41" s="1038">
        <v>0</v>
      </c>
      <c r="X41" s="1038">
        <v>0</v>
      </c>
      <c r="Y41" s="595"/>
      <c r="Z41" s="146"/>
      <c r="AB41" s="146">
        <v>10</v>
      </c>
      <c r="AC41" s="146">
        <v>50</v>
      </c>
      <c r="AD41" s="585">
        <f t="shared" si="1"/>
        <v>30</v>
      </c>
      <c r="AE41" s="146">
        <v>0</v>
      </c>
      <c r="AF41" s="146">
        <v>0</v>
      </c>
      <c r="AI41" s="576" t="s">
        <v>3648</v>
      </c>
      <c r="AJ41" s="597" t="s">
        <v>3649</v>
      </c>
      <c r="AK41" s="146"/>
      <c r="AM41" s="584">
        <f t="shared" si="0"/>
        <v>30</v>
      </c>
      <c r="AN41" s="146">
        <v>210</v>
      </c>
      <c r="AO41" s="146" t="s">
        <v>4671</v>
      </c>
    </row>
    <row r="42" spans="2:41" ht="14.25" customHeight="1" x14ac:dyDescent="0.2">
      <c r="B42" s="146"/>
      <c r="C42" s="576">
        <v>1</v>
      </c>
      <c r="D42" s="146">
        <v>5080</v>
      </c>
      <c r="E42" s="584">
        <v>31</v>
      </c>
      <c r="F42" s="146" t="s">
        <v>3398</v>
      </c>
      <c r="G42" s="1037">
        <v>1</v>
      </c>
      <c r="H42" s="1038">
        <v>0</v>
      </c>
      <c r="I42" s="146">
        <v>5.98</v>
      </c>
      <c r="J42" s="146">
        <v>1.39</v>
      </c>
      <c r="K42" s="146">
        <v>1.72</v>
      </c>
      <c r="L42" s="146">
        <v>1.66</v>
      </c>
      <c r="M42" s="146">
        <v>3.29</v>
      </c>
      <c r="N42" s="146">
        <v>0.2</v>
      </c>
      <c r="O42" s="146">
        <v>0.5</v>
      </c>
      <c r="P42" s="146">
        <v>0</v>
      </c>
      <c r="T42" s="1037">
        <v>40</v>
      </c>
      <c r="U42" s="1038">
        <v>0</v>
      </c>
      <c r="V42" s="1038">
        <v>0</v>
      </c>
      <c r="W42" s="1038">
        <v>0</v>
      </c>
      <c r="X42" s="1038">
        <v>0</v>
      </c>
      <c r="Y42" s="595"/>
      <c r="Z42" s="146"/>
      <c r="AB42" s="146">
        <v>10</v>
      </c>
      <c r="AC42" s="146">
        <v>50</v>
      </c>
      <c r="AD42" s="585">
        <f t="shared" si="1"/>
        <v>30</v>
      </c>
      <c r="AE42" s="146">
        <v>0</v>
      </c>
      <c r="AF42" s="146">
        <v>0</v>
      </c>
      <c r="AI42" s="576" t="s">
        <v>3648</v>
      </c>
      <c r="AJ42" s="597" t="s">
        <v>3649</v>
      </c>
      <c r="AK42" s="146"/>
      <c r="AM42" s="584">
        <f t="shared" si="0"/>
        <v>31</v>
      </c>
      <c r="AN42" s="146">
        <v>230</v>
      </c>
      <c r="AO42" s="146" t="s">
        <v>4672</v>
      </c>
    </row>
    <row r="43" spans="2:41" ht="14.25" customHeight="1" x14ac:dyDescent="0.2">
      <c r="B43" s="146"/>
      <c r="C43" s="576">
        <v>1</v>
      </c>
      <c r="D43" s="146">
        <v>5040</v>
      </c>
      <c r="E43" s="584">
        <v>32</v>
      </c>
      <c r="F43" s="146" t="s">
        <v>3399</v>
      </c>
      <c r="G43" s="1037">
        <v>1</v>
      </c>
      <c r="H43" s="1038">
        <v>0</v>
      </c>
      <c r="I43" s="146">
        <v>7.8</v>
      </c>
      <c r="J43" s="146">
        <v>1.62</v>
      </c>
      <c r="K43" s="146">
        <v>1.7</v>
      </c>
      <c r="L43" s="146">
        <v>1.94</v>
      </c>
      <c r="M43" s="146">
        <v>5.22</v>
      </c>
      <c r="N43" s="146">
        <v>0.3</v>
      </c>
      <c r="O43" s="146">
        <v>0.97</v>
      </c>
      <c r="P43" s="146">
        <v>0</v>
      </c>
      <c r="T43" s="1037">
        <v>40</v>
      </c>
      <c r="U43" s="1038">
        <v>0</v>
      </c>
      <c r="V43" s="1038">
        <v>0</v>
      </c>
      <c r="W43" s="1038">
        <v>0</v>
      </c>
      <c r="X43" s="1038">
        <v>0</v>
      </c>
      <c r="Y43" s="595"/>
      <c r="Z43" s="146"/>
      <c r="AB43" s="146">
        <v>10</v>
      </c>
      <c r="AC43" s="146">
        <v>50</v>
      </c>
      <c r="AD43" s="585">
        <f t="shared" si="1"/>
        <v>30</v>
      </c>
      <c r="AE43" s="146">
        <v>0</v>
      </c>
      <c r="AF43" s="146">
        <v>0</v>
      </c>
      <c r="AI43" s="576" t="s">
        <v>3648</v>
      </c>
      <c r="AJ43" s="597" t="s">
        <v>3649</v>
      </c>
      <c r="AK43" s="146"/>
      <c r="AM43" s="584">
        <f t="shared" si="0"/>
        <v>32</v>
      </c>
      <c r="AN43" s="146">
        <v>330</v>
      </c>
      <c r="AO43" s="146" t="s">
        <v>3399</v>
      </c>
    </row>
    <row r="44" spans="2:41" ht="14.25" customHeight="1" x14ac:dyDescent="0.2">
      <c r="B44" s="146"/>
      <c r="C44" s="576">
        <v>1</v>
      </c>
      <c r="D44" s="146">
        <v>4100</v>
      </c>
      <c r="E44" s="584">
        <v>33</v>
      </c>
      <c r="F44" s="146" t="s">
        <v>3400</v>
      </c>
      <c r="G44" s="1037">
        <v>1</v>
      </c>
      <c r="H44" s="1038">
        <v>0</v>
      </c>
      <c r="I44" s="146">
        <v>0.6</v>
      </c>
      <c r="J44" s="146">
        <v>0.14000000000000001</v>
      </c>
      <c r="K44" s="146">
        <v>0.14000000000000001</v>
      </c>
      <c r="L44" s="146">
        <v>0.65</v>
      </c>
      <c r="M44" s="146">
        <v>0.65</v>
      </c>
      <c r="N44" s="146">
        <v>7.0000000000000007E-2</v>
      </c>
      <c r="O44" s="146">
        <v>7.0000000000000007E-2</v>
      </c>
      <c r="P44" s="146">
        <v>0</v>
      </c>
      <c r="T44" s="1037">
        <v>600</v>
      </c>
      <c r="U44" s="1038">
        <v>0</v>
      </c>
      <c r="V44" s="1038">
        <v>0</v>
      </c>
      <c r="W44" s="1038">
        <v>0</v>
      </c>
      <c r="X44" s="1038">
        <v>0</v>
      </c>
      <c r="Y44" s="595"/>
      <c r="Z44" s="146"/>
      <c r="AB44" s="146">
        <v>150</v>
      </c>
      <c r="AC44" s="146">
        <v>750</v>
      </c>
      <c r="AD44" s="585">
        <f t="shared" si="1"/>
        <v>450</v>
      </c>
      <c r="AE44" s="146">
        <v>0</v>
      </c>
      <c r="AF44" s="146">
        <v>0</v>
      </c>
      <c r="AI44" s="576" t="s">
        <v>3648</v>
      </c>
      <c r="AJ44" s="597" t="s">
        <v>3649</v>
      </c>
      <c r="AK44" s="146"/>
      <c r="AM44" s="584">
        <f t="shared" ref="AM44:AM77" si="2">E44</f>
        <v>33</v>
      </c>
      <c r="AN44" s="146">
        <v>429</v>
      </c>
      <c r="AO44" s="146" t="s">
        <v>3400</v>
      </c>
    </row>
    <row r="45" spans="2:41" ht="14.25" customHeight="1" x14ac:dyDescent="0.2">
      <c r="B45" s="146"/>
      <c r="C45" s="576">
        <v>1</v>
      </c>
      <c r="D45" s="146">
        <v>5020</v>
      </c>
      <c r="E45" s="584">
        <v>34</v>
      </c>
      <c r="F45" s="146" t="s">
        <v>3401</v>
      </c>
      <c r="G45" s="1037">
        <v>1</v>
      </c>
      <c r="H45" s="1038">
        <v>0</v>
      </c>
      <c r="I45" s="146">
        <v>5.98</v>
      </c>
      <c r="J45" s="146">
        <v>1.39</v>
      </c>
      <c r="K45" s="146">
        <v>1.72</v>
      </c>
      <c r="L45" s="146">
        <v>1.66</v>
      </c>
      <c r="M45" s="146">
        <v>3.29</v>
      </c>
      <c r="N45" s="146">
        <v>0.2</v>
      </c>
      <c r="O45" s="146">
        <v>0.7</v>
      </c>
      <c r="P45" s="146">
        <v>0</v>
      </c>
      <c r="T45" s="1037">
        <v>40</v>
      </c>
      <c r="U45" s="1038">
        <v>0</v>
      </c>
      <c r="V45" s="1038">
        <v>0</v>
      </c>
      <c r="W45" s="1038">
        <v>0</v>
      </c>
      <c r="X45" s="1038">
        <v>0</v>
      </c>
      <c r="Y45" s="595"/>
      <c r="Z45" s="146"/>
      <c r="AB45" s="146">
        <v>10</v>
      </c>
      <c r="AC45" s="146">
        <v>50</v>
      </c>
      <c r="AD45" s="585">
        <f t="shared" si="1"/>
        <v>30</v>
      </c>
      <c r="AE45" s="146">
        <v>0</v>
      </c>
      <c r="AF45" s="146">
        <v>0</v>
      </c>
      <c r="AI45" s="576" t="s">
        <v>3648</v>
      </c>
      <c r="AJ45" s="597" t="s">
        <v>3649</v>
      </c>
      <c r="AK45" s="146"/>
      <c r="AM45" s="584">
        <f t="shared" si="2"/>
        <v>34</v>
      </c>
      <c r="AN45" s="146">
        <v>221</v>
      </c>
      <c r="AO45" s="146" t="s">
        <v>4673</v>
      </c>
    </row>
    <row r="46" spans="2:41" ht="14.25" customHeight="1" x14ac:dyDescent="0.2">
      <c r="B46" s="146"/>
      <c r="C46" s="576">
        <v>1</v>
      </c>
      <c r="D46" s="146">
        <v>7020</v>
      </c>
      <c r="E46" s="584">
        <v>35</v>
      </c>
      <c r="F46" s="146" t="s">
        <v>3597</v>
      </c>
      <c r="G46" s="576">
        <v>1</v>
      </c>
      <c r="H46" s="146">
        <v>200</v>
      </c>
      <c r="I46" s="146">
        <v>2.2799999999999998</v>
      </c>
      <c r="J46" s="146">
        <v>0.8</v>
      </c>
      <c r="K46" s="146">
        <v>1</v>
      </c>
      <c r="L46" s="146">
        <v>0.5</v>
      </c>
      <c r="M46" s="146">
        <v>2.5</v>
      </c>
      <c r="N46" s="146">
        <v>0.2</v>
      </c>
      <c r="O46" s="146">
        <v>0.6</v>
      </c>
      <c r="P46" s="146">
        <v>20</v>
      </c>
      <c r="T46" s="576">
        <v>90</v>
      </c>
      <c r="U46" s="146">
        <v>10</v>
      </c>
      <c r="V46" s="146">
        <v>10</v>
      </c>
      <c r="W46" s="146">
        <v>40</v>
      </c>
      <c r="X46" s="146">
        <v>15</v>
      </c>
      <c r="Y46" s="595"/>
      <c r="Z46" s="146"/>
      <c r="AB46" s="146">
        <v>40</v>
      </c>
      <c r="AC46" s="146">
        <v>120</v>
      </c>
      <c r="AD46" s="585">
        <f t="shared" si="1"/>
        <v>80</v>
      </c>
      <c r="AE46" s="146">
        <v>180</v>
      </c>
      <c r="AF46" s="146">
        <v>30</v>
      </c>
      <c r="AI46" s="576" t="s">
        <v>3648</v>
      </c>
      <c r="AJ46" s="597" t="s">
        <v>3578</v>
      </c>
      <c r="AK46" s="146"/>
      <c r="AM46" s="584">
        <f t="shared" si="2"/>
        <v>35</v>
      </c>
      <c r="AN46" s="146">
        <v>171</v>
      </c>
      <c r="AO46" s="146" t="s">
        <v>4674</v>
      </c>
    </row>
    <row r="47" spans="2:41" ht="14.25" customHeight="1" x14ac:dyDescent="0.2">
      <c r="B47" s="146"/>
      <c r="C47" s="576">
        <v>1</v>
      </c>
      <c r="D47" s="146">
        <v>7026</v>
      </c>
      <c r="E47" s="584">
        <v>36</v>
      </c>
      <c r="F47" s="146" t="s">
        <v>3598</v>
      </c>
      <c r="G47" s="576">
        <v>1</v>
      </c>
      <c r="H47" s="146">
        <v>230</v>
      </c>
      <c r="I47" s="146">
        <v>2.2799999999999998</v>
      </c>
      <c r="J47" s="146">
        <v>0.8</v>
      </c>
      <c r="K47" s="146">
        <v>1</v>
      </c>
      <c r="L47" s="146">
        <v>0.5</v>
      </c>
      <c r="M47" s="146">
        <v>2.5</v>
      </c>
      <c r="N47" s="146">
        <v>0.2</v>
      </c>
      <c r="O47" s="146">
        <v>0.6</v>
      </c>
      <c r="P47" s="146">
        <v>20</v>
      </c>
      <c r="T47" s="576">
        <v>120</v>
      </c>
      <c r="U47" s="146">
        <v>10</v>
      </c>
      <c r="V47" s="146">
        <v>10</v>
      </c>
      <c r="W47" s="146">
        <v>40</v>
      </c>
      <c r="X47" s="146">
        <v>15</v>
      </c>
      <c r="Y47" s="595"/>
      <c r="Z47" s="146"/>
      <c r="AB47" s="146">
        <v>40</v>
      </c>
      <c r="AC47" s="146">
        <v>130</v>
      </c>
      <c r="AD47" s="585">
        <f t="shared" si="1"/>
        <v>85</v>
      </c>
      <c r="AE47" s="146">
        <v>200</v>
      </c>
      <c r="AF47" s="146">
        <v>30</v>
      </c>
      <c r="AI47" s="576" t="s">
        <v>3648</v>
      </c>
      <c r="AJ47" s="597" t="s">
        <v>3578</v>
      </c>
      <c r="AK47" s="146"/>
      <c r="AM47" s="584">
        <f t="shared" si="2"/>
        <v>36</v>
      </c>
      <c r="AN47" s="146">
        <v>171</v>
      </c>
      <c r="AO47" s="146" t="s">
        <v>4674</v>
      </c>
    </row>
    <row r="48" spans="2:41" ht="14.25" customHeight="1" x14ac:dyDescent="0.2">
      <c r="B48" s="146"/>
      <c r="C48" s="576">
        <v>1</v>
      </c>
      <c r="D48" s="146">
        <v>7010</v>
      </c>
      <c r="E48" s="584">
        <v>37</v>
      </c>
      <c r="F48" s="146" t="s">
        <v>3599</v>
      </c>
      <c r="G48" s="576">
        <v>1</v>
      </c>
      <c r="H48" s="146">
        <v>200</v>
      </c>
      <c r="I48" s="146">
        <v>1.36</v>
      </c>
      <c r="J48" s="146">
        <v>0.57999999999999996</v>
      </c>
      <c r="K48" s="146">
        <v>0.57999999999999996</v>
      </c>
      <c r="L48" s="146">
        <v>1.61</v>
      </c>
      <c r="M48" s="146">
        <v>1.61</v>
      </c>
      <c r="N48" s="146">
        <v>0.3</v>
      </c>
      <c r="O48" s="146">
        <v>0.3</v>
      </c>
      <c r="P48" s="146">
        <v>20</v>
      </c>
      <c r="T48" s="576">
        <v>148.5</v>
      </c>
      <c r="U48" s="146">
        <v>16.5</v>
      </c>
      <c r="V48" s="146">
        <v>10</v>
      </c>
      <c r="W48" s="146">
        <v>40</v>
      </c>
      <c r="X48" s="146">
        <v>15</v>
      </c>
      <c r="Y48" s="595"/>
      <c r="Z48" s="146"/>
      <c r="AB48" s="146">
        <v>80</v>
      </c>
      <c r="AC48" s="146">
        <v>200</v>
      </c>
      <c r="AD48" s="585">
        <f t="shared" si="1"/>
        <v>140</v>
      </c>
      <c r="AE48" s="146">
        <v>180</v>
      </c>
      <c r="AF48" s="146">
        <v>30</v>
      </c>
      <c r="AI48" s="576" t="s">
        <v>3648</v>
      </c>
      <c r="AJ48" s="597" t="s">
        <v>3578</v>
      </c>
      <c r="AK48" s="146"/>
      <c r="AM48" s="584">
        <f t="shared" si="2"/>
        <v>37</v>
      </c>
      <c r="AN48" s="146">
        <v>411</v>
      </c>
      <c r="AO48" s="146" t="s">
        <v>4675</v>
      </c>
    </row>
    <row r="49" spans="2:41" ht="14.25" customHeight="1" x14ac:dyDescent="0.2">
      <c r="B49" s="146"/>
      <c r="C49" s="576">
        <v>1</v>
      </c>
      <c r="D49" s="146">
        <v>7011</v>
      </c>
      <c r="E49" s="584">
        <v>38</v>
      </c>
      <c r="F49" s="146" t="s">
        <v>3600</v>
      </c>
      <c r="G49" s="576">
        <v>1</v>
      </c>
      <c r="H49" s="146">
        <v>200</v>
      </c>
      <c r="I49" s="146">
        <v>0.45</v>
      </c>
      <c r="J49" s="146">
        <v>0.19</v>
      </c>
      <c r="K49" s="146">
        <v>0.19</v>
      </c>
      <c r="L49" s="146">
        <v>0.53</v>
      </c>
      <c r="M49" s="146">
        <v>0.53</v>
      </c>
      <c r="N49" s="146">
        <v>0.1</v>
      </c>
      <c r="O49" s="146">
        <v>0.1</v>
      </c>
      <c r="P49" s="146">
        <v>20</v>
      </c>
      <c r="T49" s="576">
        <v>450</v>
      </c>
      <c r="U49" s="146">
        <v>50</v>
      </c>
      <c r="V49" s="146">
        <v>10</v>
      </c>
      <c r="W49" s="146">
        <v>40</v>
      </c>
      <c r="X49" s="146">
        <v>15</v>
      </c>
      <c r="Y49" s="595"/>
      <c r="Z49" s="146"/>
      <c r="AB49" s="146">
        <v>240</v>
      </c>
      <c r="AC49" s="146">
        <v>650</v>
      </c>
      <c r="AD49" s="585">
        <f t="shared" si="1"/>
        <v>445</v>
      </c>
      <c r="AE49" s="146">
        <v>180</v>
      </c>
      <c r="AF49" s="146">
        <v>30</v>
      </c>
      <c r="AI49" s="576" t="s">
        <v>3648</v>
      </c>
      <c r="AJ49" s="597" t="s">
        <v>3578</v>
      </c>
      <c r="AK49" s="146"/>
      <c r="AM49" s="584">
        <f t="shared" si="2"/>
        <v>38</v>
      </c>
      <c r="AN49" s="146">
        <v>411</v>
      </c>
      <c r="AO49" s="146" t="s">
        <v>4675</v>
      </c>
    </row>
    <row r="50" spans="2:41" ht="14.25" customHeight="1" x14ac:dyDescent="0.2">
      <c r="B50" s="146"/>
      <c r="C50" s="576">
        <v>1</v>
      </c>
      <c r="D50" s="146">
        <v>7030</v>
      </c>
      <c r="E50" s="584">
        <v>39</v>
      </c>
      <c r="F50" s="146" t="s">
        <v>3601</v>
      </c>
      <c r="G50" s="1680">
        <v>1</v>
      </c>
      <c r="H50" s="1681">
        <v>180</v>
      </c>
      <c r="I50" s="1681">
        <v>1.65</v>
      </c>
      <c r="J50" s="1681">
        <v>0.57999999999999996</v>
      </c>
      <c r="K50" s="1681">
        <v>0.72</v>
      </c>
      <c r="L50" s="1681">
        <v>0.36</v>
      </c>
      <c r="M50" s="1681">
        <v>1.81</v>
      </c>
      <c r="N50" s="1681">
        <v>0.14000000000000001</v>
      </c>
      <c r="O50" s="1681">
        <v>0.43</v>
      </c>
      <c r="P50" s="1681">
        <v>20</v>
      </c>
      <c r="Q50" s="1681"/>
      <c r="R50" s="1681"/>
      <c r="S50" s="1681"/>
      <c r="T50" s="1680">
        <v>130</v>
      </c>
      <c r="U50" s="1681">
        <v>10</v>
      </c>
      <c r="V50" s="1681">
        <v>10</v>
      </c>
      <c r="W50" s="1681">
        <v>40</v>
      </c>
      <c r="X50" s="1681">
        <v>15</v>
      </c>
      <c r="Y50" s="595"/>
      <c r="Z50" s="146"/>
      <c r="AB50" s="146">
        <v>40</v>
      </c>
      <c r="AC50" s="146">
        <v>150</v>
      </c>
      <c r="AD50" s="585">
        <f t="shared" si="1"/>
        <v>95</v>
      </c>
      <c r="AE50" s="146">
        <v>180</v>
      </c>
      <c r="AF50" s="146">
        <v>30</v>
      </c>
      <c r="AI50" s="576" t="s">
        <v>3648</v>
      </c>
      <c r="AJ50" s="597" t="s">
        <v>3578</v>
      </c>
      <c r="AK50" s="146"/>
      <c r="AM50" s="584">
        <f t="shared" si="2"/>
        <v>39</v>
      </c>
      <c r="AN50" s="146">
        <v>171</v>
      </c>
      <c r="AO50" s="146" t="s">
        <v>4674</v>
      </c>
    </row>
    <row r="51" spans="2:41" ht="14.25" customHeight="1" x14ac:dyDescent="0.2">
      <c r="B51" s="146"/>
      <c r="C51" s="576">
        <v>1</v>
      </c>
      <c r="D51" s="146">
        <v>7016</v>
      </c>
      <c r="E51" s="584">
        <v>40</v>
      </c>
      <c r="F51" s="146" t="s">
        <v>4772</v>
      </c>
      <c r="G51" s="576">
        <v>1</v>
      </c>
      <c r="H51" s="146">
        <v>120</v>
      </c>
      <c r="I51" s="146">
        <v>2.82</v>
      </c>
      <c r="J51" s="146">
        <v>1</v>
      </c>
      <c r="K51" s="146">
        <v>1</v>
      </c>
      <c r="L51" s="146">
        <v>0.5</v>
      </c>
      <c r="M51" s="146">
        <v>2.5</v>
      </c>
      <c r="N51" s="146">
        <v>0.17</v>
      </c>
      <c r="O51" s="146">
        <v>0.44</v>
      </c>
      <c r="P51" s="146">
        <v>60</v>
      </c>
      <c r="T51" s="576">
        <v>30</v>
      </c>
      <c r="U51" s="146">
        <v>5</v>
      </c>
      <c r="V51" s="146">
        <v>10</v>
      </c>
      <c r="W51" s="146">
        <v>40</v>
      </c>
      <c r="X51" s="146">
        <v>15</v>
      </c>
      <c r="Y51" s="595"/>
      <c r="Z51" s="146"/>
      <c r="AB51" s="146">
        <v>30</v>
      </c>
      <c r="AC51" s="146">
        <v>65</v>
      </c>
      <c r="AD51" s="585">
        <f t="shared" si="1"/>
        <v>47.5</v>
      </c>
      <c r="AE51" s="146">
        <v>140</v>
      </c>
      <c r="AF51" s="146">
        <v>80</v>
      </c>
      <c r="AI51" s="576" t="s">
        <v>3648</v>
      </c>
      <c r="AJ51" s="597" t="s">
        <v>3578</v>
      </c>
      <c r="AK51" s="146"/>
      <c r="AM51" s="584">
        <f t="shared" si="2"/>
        <v>40</v>
      </c>
      <c r="AN51" s="146">
        <v>919</v>
      </c>
      <c r="AO51" s="146" t="s">
        <v>3602</v>
      </c>
    </row>
    <row r="52" spans="2:41" ht="14.25" customHeight="1" x14ac:dyDescent="0.2">
      <c r="B52" s="146"/>
      <c r="C52" s="576">
        <v>1</v>
      </c>
      <c r="D52" s="146">
        <v>7017</v>
      </c>
      <c r="E52" s="584">
        <v>41</v>
      </c>
      <c r="F52" s="146" t="s">
        <v>4773</v>
      </c>
      <c r="G52" s="576">
        <v>1</v>
      </c>
      <c r="H52" s="146">
        <v>120</v>
      </c>
      <c r="I52" s="146">
        <v>2.82</v>
      </c>
      <c r="J52" s="146">
        <v>1</v>
      </c>
      <c r="K52" s="146">
        <v>1</v>
      </c>
      <c r="L52" s="146">
        <v>0.5</v>
      </c>
      <c r="M52" s="146">
        <v>2.5</v>
      </c>
      <c r="N52" s="146">
        <v>0.17</v>
      </c>
      <c r="O52" s="146">
        <v>0.44</v>
      </c>
      <c r="P52" s="146">
        <v>60</v>
      </c>
      <c r="T52" s="576">
        <v>30</v>
      </c>
      <c r="U52" s="146">
        <v>5</v>
      </c>
      <c r="V52" s="146">
        <v>10</v>
      </c>
      <c r="W52" s="146">
        <v>40</v>
      </c>
      <c r="X52" s="146">
        <v>15</v>
      </c>
      <c r="Y52" s="595"/>
      <c r="Z52" s="146"/>
      <c r="AB52" s="146">
        <v>30</v>
      </c>
      <c r="AC52" s="146">
        <v>65</v>
      </c>
      <c r="AD52" s="585">
        <f t="shared" si="1"/>
        <v>47.5</v>
      </c>
      <c r="AE52" s="146">
        <v>140</v>
      </c>
      <c r="AF52" s="146">
        <v>80</v>
      </c>
      <c r="AI52" s="576" t="s">
        <v>3648</v>
      </c>
      <c r="AJ52" s="597" t="s">
        <v>3578</v>
      </c>
      <c r="AK52" s="146"/>
      <c r="AM52" s="584"/>
      <c r="AN52" s="146">
        <v>919</v>
      </c>
      <c r="AO52" s="146" t="s">
        <v>3602</v>
      </c>
    </row>
    <row r="53" spans="2:41" ht="14.25" customHeight="1" x14ac:dyDescent="0.2">
      <c r="B53" s="146"/>
      <c r="C53" s="576">
        <v>1</v>
      </c>
      <c r="D53" s="146">
        <v>7018</v>
      </c>
      <c r="E53" s="584">
        <v>42</v>
      </c>
      <c r="F53" s="146" t="s">
        <v>4774</v>
      </c>
      <c r="G53" s="576">
        <v>1</v>
      </c>
      <c r="H53" s="146">
        <v>170</v>
      </c>
      <c r="I53" s="146">
        <v>2.82</v>
      </c>
      <c r="J53" s="146">
        <v>1</v>
      </c>
      <c r="K53" s="146">
        <v>1</v>
      </c>
      <c r="L53" s="146">
        <v>0.5</v>
      </c>
      <c r="M53" s="146">
        <v>2.5</v>
      </c>
      <c r="N53" s="146">
        <v>0.17</v>
      </c>
      <c r="O53" s="146">
        <v>0.44</v>
      </c>
      <c r="P53" s="146">
        <v>60</v>
      </c>
      <c r="T53" s="576">
        <v>50</v>
      </c>
      <c r="U53" s="146">
        <v>5</v>
      </c>
      <c r="V53" s="146">
        <v>10</v>
      </c>
      <c r="W53" s="146">
        <v>40</v>
      </c>
      <c r="X53" s="146">
        <v>15</v>
      </c>
      <c r="Y53" s="595"/>
      <c r="Z53" s="146"/>
      <c r="AB53" s="146">
        <v>30</v>
      </c>
      <c r="AC53" s="146">
        <v>65</v>
      </c>
      <c r="AD53" s="585">
        <f t="shared" si="1"/>
        <v>47.5</v>
      </c>
      <c r="AE53" s="146">
        <v>140</v>
      </c>
      <c r="AF53" s="146">
        <v>80</v>
      </c>
      <c r="AI53" s="576" t="s">
        <v>3648</v>
      </c>
      <c r="AJ53" s="597" t="s">
        <v>3578</v>
      </c>
      <c r="AK53" s="146"/>
      <c r="AM53" s="584"/>
      <c r="AN53" s="146">
        <v>919</v>
      </c>
      <c r="AO53" s="146" t="s">
        <v>3602</v>
      </c>
    </row>
    <row r="54" spans="2:41" ht="14.25" customHeight="1" x14ac:dyDescent="0.2">
      <c r="B54" s="146"/>
      <c r="C54" s="576">
        <v>1</v>
      </c>
      <c r="D54" s="146">
        <v>7019</v>
      </c>
      <c r="E54" s="584">
        <v>43</v>
      </c>
      <c r="F54" s="146" t="s">
        <v>4775</v>
      </c>
      <c r="G54" s="576">
        <v>1</v>
      </c>
      <c r="H54" s="146">
        <v>170</v>
      </c>
      <c r="I54" s="146">
        <v>2.82</v>
      </c>
      <c r="J54" s="146">
        <v>1</v>
      </c>
      <c r="K54" s="146">
        <v>1</v>
      </c>
      <c r="L54" s="146">
        <v>0.5</v>
      </c>
      <c r="M54" s="146">
        <v>2.5</v>
      </c>
      <c r="N54" s="146">
        <v>0.17</v>
      </c>
      <c r="O54" s="146">
        <v>0.44</v>
      </c>
      <c r="P54" s="146">
        <v>60</v>
      </c>
      <c r="T54" s="576">
        <v>50</v>
      </c>
      <c r="U54" s="146">
        <v>5</v>
      </c>
      <c r="V54" s="146">
        <v>10</v>
      </c>
      <c r="W54" s="146">
        <v>40</v>
      </c>
      <c r="X54" s="146">
        <v>15</v>
      </c>
      <c r="Y54" s="595"/>
      <c r="Z54" s="146"/>
      <c r="AB54" s="146">
        <v>30</v>
      </c>
      <c r="AC54" s="146">
        <v>65</v>
      </c>
      <c r="AD54" s="585">
        <f t="shared" si="1"/>
        <v>47.5</v>
      </c>
      <c r="AE54" s="146">
        <v>140</v>
      </c>
      <c r="AF54" s="146">
        <v>80</v>
      </c>
      <c r="AI54" s="576" t="s">
        <v>3648</v>
      </c>
      <c r="AJ54" s="597" t="s">
        <v>3578</v>
      </c>
      <c r="AK54" s="146"/>
      <c r="AM54" s="584"/>
      <c r="AN54" s="146">
        <v>919</v>
      </c>
      <c r="AO54" s="146" t="s">
        <v>3602</v>
      </c>
    </row>
    <row r="55" spans="2:41" ht="14.25" customHeight="1" x14ac:dyDescent="0.2">
      <c r="B55" s="146"/>
      <c r="C55" s="576">
        <v>1</v>
      </c>
      <c r="D55" s="146">
        <v>3030</v>
      </c>
      <c r="E55" s="584">
        <v>44</v>
      </c>
      <c r="F55" s="146" t="s">
        <v>3402</v>
      </c>
      <c r="G55" s="576">
        <v>1</v>
      </c>
      <c r="H55" s="146">
        <v>220</v>
      </c>
      <c r="I55" s="146">
        <v>0.55000000000000004</v>
      </c>
      <c r="J55" s="146">
        <v>0.14000000000000001</v>
      </c>
      <c r="K55" s="146">
        <v>0.16</v>
      </c>
      <c r="L55" s="146">
        <v>0.6</v>
      </c>
      <c r="M55" s="146">
        <v>0.67200000000000004</v>
      </c>
      <c r="N55" s="146">
        <v>0.04</v>
      </c>
      <c r="O55" s="146">
        <v>0.06</v>
      </c>
      <c r="P55" s="146">
        <v>0</v>
      </c>
      <c r="T55" s="576">
        <v>400</v>
      </c>
      <c r="U55" s="146">
        <v>50</v>
      </c>
      <c r="V55" s="146">
        <v>10</v>
      </c>
      <c r="W55" s="146">
        <v>40</v>
      </c>
      <c r="X55" s="146">
        <v>10</v>
      </c>
      <c r="Y55" s="595"/>
      <c r="Z55" s="146"/>
      <c r="AB55" s="146">
        <v>200</v>
      </c>
      <c r="AC55" s="146">
        <v>400</v>
      </c>
      <c r="AD55" s="585">
        <f t="shared" si="1"/>
        <v>300</v>
      </c>
      <c r="AE55" s="146">
        <v>160</v>
      </c>
      <c r="AF55" s="146">
        <v>30</v>
      </c>
      <c r="AI55" s="576" t="s">
        <v>3648</v>
      </c>
      <c r="AJ55" s="597">
        <v>0</v>
      </c>
      <c r="AK55" s="146"/>
      <c r="AM55" s="584">
        <f t="shared" si="2"/>
        <v>44</v>
      </c>
      <c r="AN55" s="593" t="s">
        <v>4676</v>
      </c>
      <c r="AO55" s="146" t="s">
        <v>4677</v>
      </c>
    </row>
    <row r="56" spans="2:41" ht="14.25" customHeight="1" x14ac:dyDescent="0.2">
      <c r="B56" s="146"/>
      <c r="C56" s="576">
        <v>1</v>
      </c>
      <c r="D56" s="146">
        <v>3040</v>
      </c>
      <c r="E56" s="584">
        <v>45</v>
      </c>
      <c r="F56" s="146" t="s">
        <v>3403</v>
      </c>
      <c r="G56" s="576">
        <v>1</v>
      </c>
      <c r="H56" s="146">
        <v>180</v>
      </c>
      <c r="I56" s="146">
        <v>0.39</v>
      </c>
      <c r="J56" s="146">
        <v>0.14000000000000001</v>
      </c>
      <c r="K56" s="146">
        <v>0.16</v>
      </c>
      <c r="L56" s="146">
        <v>0.6</v>
      </c>
      <c r="M56" s="146">
        <v>0.67200000000000004</v>
      </c>
      <c r="N56" s="146">
        <v>0.04</v>
      </c>
      <c r="O56" s="146">
        <v>0.06</v>
      </c>
      <c r="P56" s="146">
        <v>0</v>
      </c>
      <c r="T56" s="576">
        <v>450</v>
      </c>
      <c r="U56" s="146">
        <v>50</v>
      </c>
      <c r="V56" s="146">
        <v>10</v>
      </c>
      <c r="W56" s="146">
        <v>40</v>
      </c>
      <c r="X56" s="146">
        <v>10</v>
      </c>
      <c r="Y56" s="595"/>
      <c r="Z56" s="146"/>
      <c r="AB56" s="146">
        <v>200</v>
      </c>
      <c r="AC56" s="146">
        <v>500</v>
      </c>
      <c r="AD56" s="585">
        <f t="shared" si="1"/>
        <v>350</v>
      </c>
      <c r="AE56" s="146">
        <v>140</v>
      </c>
      <c r="AF56" s="146">
        <v>30</v>
      </c>
      <c r="AI56" s="576" t="s">
        <v>3648</v>
      </c>
      <c r="AJ56" s="597">
        <v>0</v>
      </c>
      <c r="AK56" s="146"/>
      <c r="AM56" s="584">
        <f t="shared" si="2"/>
        <v>45</v>
      </c>
      <c r="AN56" s="593" t="s">
        <v>4676</v>
      </c>
      <c r="AO56" s="146" t="s">
        <v>4677</v>
      </c>
    </row>
    <row r="57" spans="2:41" ht="14.25" customHeight="1" x14ac:dyDescent="0.2">
      <c r="B57" s="146"/>
      <c r="C57" s="576">
        <v>1</v>
      </c>
      <c r="D57" s="146">
        <v>3060</v>
      </c>
      <c r="E57" s="584">
        <v>46</v>
      </c>
      <c r="F57" s="146" t="s">
        <v>3404</v>
      </c>
      <c r="G57" s="1680">
        <v>1</v>
      </c>
      <c r="H57" s="1681">
        <v>185</v>
      </c>
      <c r="I57" s="1681">
        <v>0.3</v>
      </c>
      <c r="J57" s="1681">
        <v>0.09</v>
      </c>
      <c r="K57" s="1681">
        <v>0.122</v>
      </c>
      <c r="L57" s="1681">
        <v>0.5</v>
      </c>
      <c r="M57" s="1681">
        <v>0.7</v>
      </c>
      <c r="N57" s="1681">
        <v>0.05</v>
      </c>
      <c r="O57" s="1681">
        <v>0.08</v>
      </c>
      <c r="P57" s="1681">
        <v>0</v>
      </c>
      <c r="Q57" s="1681"/>
      <c r="R57" s="1681"/>
      <c r="S57" s="1681"/>
      <c r="T57" s="1680">
        <v>550</v>
      </c>
      <c r="U57" s="1681">
        <v>100</v>
      </c>
      <c r="V57" s="1681">
        <v>10</v>
      </c>
      <c r="W57" s="1681">
        <v>40</v>
      </c>
      <c r="X57" s="1681">
        <v>15</v>
      </c>
      <c r="Y57" s="1682"/>
      <c r="Z57" s="1681"/>
      <c r="AA57" s="1681"/>
      <c r="AB57" s="1681">
        <v>400</v>
      </c>
      <c r="AC57" s="146">
        <v>800</v>
      </c>
      <c r="AD57" s="585">
        <f t="shared" si="1"/>
        <v>600</v>
      </c>
      <c r="AE57" s="146">
        <v>170</v>
      </c>
      <c r="AF57" s="146">
        <v>30</v>
      </c>
      <c r="AI57" s="576" t="s">
        <v>3648</v>
      </c>
      <c r="AJ57" s="597">
        <v>0</v>
      </c>
      <c r="AK57" s="146"/>
      <c r="AM57" s="584">
        <f t="shared" si="2"/>
        <v>46</v>
      </c>
      <c r="AN57" s="1508"/>
      <c r="AO57" s="1508"/>
    </row>
    <row r="58" spans="2:41" ht="14.25" customHeight="1" x14ac:dyDescent="0.2">
      <c r="B58" s="146"/>
      <c r="C58" s="576">
        <v>1</v>
      </c>
      <c r="D58" s="146">
        <v>3020</v>
      </c>
      <c r="E58" s="584">
        <v>47</v>
      </c>
      <c r="F58" s="146" t="s">
        <v>3405</v>
      </c>
      <c r="G58" s="1680">
        <v>1</v>
      </c>
      <c r="H58" s="1681">
        <v>200</v>
      </c>
      <c r="I58" s="1681">
        <v>0.24</v>
      </c>
      <c r="J58" s="1681">
        <v>7.0000000000000007E-2</v>
      </c>
      <c r="K58" s="1681">
        <v>0.09</v>
      </c>
      <c r="L58" s="1681">
        <v>0.45</v>
      </c>
      <c r="M58" s="1681">
        <v>0.61</v>
      </c>
      <c r="N58" s="1681">
        <v>0.05</v>
      </c>
      <c r="O58" s="1681">
        <v>0.08</v>
      </c>
      <c r="P58" s="1681">
        <v>0</v>
      </c>
      <c r="Q58" s="1681"/>
      <c r="R58" s="1681"/>
      <c r="S58" s="1681"/>
      <c r="T58" s="1680">
        <v>750</v>
      </c>
      <c r="U58" s="1681">
        <v>100</v>
      </c>
      <c r="V58" s="1681">
        <v>10</v>
      </c>
      <c r="W58" s="1681">
        <v>40</v>
      </c>
      <c r="X58" s="1681">
        <v>15</v>
      </c>
      <c r="Y58" s="1682"/>
      <c r="Z58" s="1681"/>
      <c r="AA58" s="1681"/>
      <c r="AB58" s="1681">
        <v>500</v>
      </c>
      <c r="AC58" s="146">
        <v>1100</v>
      </c>
      <c r="AD58" s="585">
        <f t="shared" si="1"/>
        <v>800</v>
      </c>
      <c r="AE58" s="146">
        <v>170</v>
      </c>
      <c r="AF58" s="146">
        <v>30</v>
      </c>
      <c r="AI58" s="576" t="s">
        <v>3648</v>
      </c>
      <c r="AJ58" s="597">
        <v>0</v>
      </c>
      <c r="AK58" s="146"/>
      <c r="AM58" s="584">
        <f t="shared" si="2"/>
        <v>47</v>
      </c>
      <c r="AN58" s="146">
        <v>413</v>
      </c>
      <c r="AO58" s="146" t="s">
        <v>4678</v>
      </c>
    </row>
    <row r="59" spans="2:41" ht="14.25" customHeight="1" x14ac:dyDescent="0.2">
      <c r="B59" s="146"/>
      <c r="C59" s="576">
        <v>1</v>
      </c>
      <c r="D59" s="146">
        <v>3010</v>
      </c>
      <c r="E59" s="584">
        <v>48</v>
      </c>
      <c r="F59" s="146" t="s">
        <v>3406</v>
      </c>
      <c r="G59" s="576">
        <v>1</v>
      </c>
      <c r="H59" s="146">
        <v>170</v>
      </c>
      <c r="I59" s="146">
        <v>0.44</v>
      </c>
      <c r="J59" s="146">
        <v>0.1</v>
      </c>
      <c r="K59" s="146">
        <v>0.18</v>
      </c>
      <c r="L59" s="146">
        <v>0.25</v>
      </c>
      <c r="M59" s="146">
        <v>0.67</v>
      </c>
      <c r="N59" s="146">
        <v>0.08</v>
      </c>
      <c r="O59" s="146">
        <v>0.15</v>
      </c>
      <c r="P59" s="146">
        <v>0</v>
      </c>
      <c r="T59" s="576">
        <v>650</v>
      </c>
      <c r="U59" s="146">
        <v>100</v>
      </c>
      <c r="V59" s="146">
        <v>10</v>
      </c>
      <c r="W59" s="146">
        <v>40</v>
      </c>
      <c r="X59" s="146">
        <v>15</v>
      </c>
      <c r="Y59" s="595"/>
      <c r="Z59" s="146"/>
      <c r="AB59" s="146">
        <v>300</v>
      </c>
      <c r="AC59" s="146">
        <v>900</v>
      </c>
      <c r="AD59" s="585">
        <f t="shared" si="1"/>
        <v>600</v>
      </c>
      <c r="AE59" s="146">
        <v>140</v>
      </c>
      <c r="AF59" s="146">
        <v>30</v>
      </c>
      <c r="AI59" s="576" t="s">
        <v>3648</v>
      </c>
      <c r="AJ59" s="597">
        <v>0</v>
      </c>
      <c r="AK59" s="146"/>
      <c r="AM59" s="584">
        <f t="shared" si="2"/>
        <v>48</v>
      </c>
      <c r="AN59" s="146">
        <v>603</v>
      </c>
      <c r="AO59" s="146" t="s">
        <v>3406</v>
      </c>
    </row>
    <row r="60" spans="2:41" ht="14.25" customHeight="1" x14ac:dyDescent="0.2">
      <c r="B60" s="146"/>
      <c r="C60" s="576">
        <v>1</v>
      </c>
      <c r="D60" s="146">
        <v>7110</v>
      </c>
      <c r="E60" s="584">
        <v>49</v>
      </c>
      <c r="F60" s="146" t="s">
        <v>3603</v>
      </c>
      <c r="G60" s="1680">
        <v>1</v>
      </c>
      <c r="H60" s="1681">
        <v>220</v>
      </c>
      <c r="I60" s="1681">
        <v>0.41</v>
      </c>
      <c r="J60" s="1681">
        <v>0.19</v>
      </c>
      <c r="K60" s="1681">
        <v>0.19</v>
      </c>
      <c r="L60" s="1681">
        <v>0.53</v>
      </c>
      <c r="M60" s="1681">
        <v>0.53</v>
      </c>
      <c r="N60" s="1681">
        <v>7.0000000000000007E-2</v>
      </c>
      <c r="O60" s="1681">
        <v>7.0000000000000007E-2</v>
      </c>
      <c r="P60" s="1681">
        <v>20</v>
      </c>
      <c r="Q60" s="1681"/>
      <c r="R60" s="1681"/>
      <c r="S60" s="1681"/>
      <c r="T60" s="1680">
        <v>550</v>
      </c>
      <c r="U60" s="1681">
        <v>50</v>
      </c>
      <c r="V60" s="1681">
        <v>10</v>
      </c>
      <c r="W60" s="1681">
        <v>40</v>
      </c>
      <c r="X60" s="1681">
        <v>15</v>
      </c>
      <c r="Y60" s="595"/>
      <c r="Z60" s="146"/>
      <c r="AB60" s="146">
        <v>350</v>
      </c>
      <c r="AC60" s="146">
        <v>700</v>
      </c>
      <c r="AD60" s="585">
        <f t="shared" si="1"/>
        <v>525</v>
      </c>
      <c r="AE60" s="146">
        <v>200</v>
      </c>
      <c r="AF60" s="146">
        <v>30</v>
      </c>
      <c r="AI60" s="576" t="s">
        <v>3648</v>
      </c>
      <c r="AJ60" s="597" t="s">
        <v>3578</v>
      </c>
      <c r="AK60" s="146"/>
      <c r="AM60" s="584">
        <f t="shared" si="2"/>
        <v>49</v>
      </c>
      <c r="AN60" s="1508">
        <v>172</v>
      </c>
      <c r="AO60" s="1508" t="s">
        <v>4679</v>
      </c>
    </row>
    <row r="61" spans="2:41" ht="14.25" customHeight="1" x14ac:dyDescent="0.2">
      <c r="B61" s="146"/>
      <c r="C61" s="576">
        <v>1</v>
      </c>
      <c r="D61" s="146">
        <v>7126</v>
      </c>
      <c r="E61" s="584">
        <v>50</v>
      </c>
      <c r="F61" s="146" t="s">
        <v>4904</v>
      </c>
      <c r="G61" s="1680">
        <v>1</v>
      </c>
      <c r="H61" s="1681">
        <v>230</v>
      </c>
      <c r="I61" s="1681">
        <v>0.27</v>
      </c>
      <c r="J61" s="1681">
        <v>0.23</v>
      </c>
      <c r="K61" s="1681">
        <v>0.23</v>
      </c>
      <c r="L61" s="1681">
        <v>0.38</v>
      </c>
      <c r="M61" s="1681">
        <v>0.38</v>
      </c>
      <c r="N61" s="1681">
        <v>0.09</v>
      </c>
      <c r="O61" s="1681">
        <v>0.09</v>
      </c>
      <c r="P61" s="1681">
        <v>20</v>
      </c>
      <c r="Q61" s="1681"/>
      <c r="R61" s="1681"/>
      <c r="S61" s="1681"/>
      <c r="T61" s="1680">
        <v>600</v>
      </c>
      <c r="U61" s="1681">
        <v>50</v>
      </c>
      <c r="V61" s="1681">
        <v>10</v>
      </c>
      <c r="W61" s="1681">
        <v>40</v>
      </c>
      <c r="X61" s="1681">
        <v>15</v>
      </c>
      <c r="Y61" s="595"/>
      <c r="Z61" s="146"/>
      <c r="AB61" s="146">
        <v>450</v>
      </c>
      <c r="AC61" s="146">
        <v>850</v>
      </c>
      <c r="AD61" s="585">
        <f t="shared" si="1"/>
        <v>650</v>
      </c>
      <c r="AE61" s="146">
        <v>180</v>
      </c>
      <c r="AF61" s="146">
        <v>30</v>
      </c>
      <c r="AI61" s="576" t="s">
        <v>3648</v>
      </c>
      <c r="AJ61" s="597">
        <v>0</v>
      </c>
      <c r="AK61" s="146"/>
      <c r="AM61" s="584">
        <f t="shared" si="2"/>
        <v>50</v>
      </c>
      <c r="AN61" s="146">
        <v>803</v>
      </c>
      <c r="AO61" s="146" t="s">
        <v>4680</v>
      </c>
    </row>
    <row r="62" spans="2:41" ht="14.25" customHeight="1" x14ac:dyDescent="0.2">
      <c r="B62" s="146"/>
      <c r="C62" s="576">
        <v>1</v>
      </c>
      <c r="D62" s="146">
        <v>7128</v>
      </c>
      <c r="E62" s="584">
        <v>51</v>
      </c>
      <c r="F62" s="146" t="s">
        <v>4903</v>
      </c>
      <c r="G62" s="1680">
        <v>1</v>
      </c>
      <c r="H62" s="1681">
        <v>220</v>
      </c>
      <c r="I62" s="1681">
        <v>0.35</v>
      </c>
      <c r="J62" s="1681">
        <v>0.17</v>
      </c>
      <c r="K62" s="1681">
        <v>0.17</v>
      </c>
      <c r="L62" s="1681">
        <v>0.52</v>
      </c>
      <c r="M62" s="1681">
        <v>0.52</v>
      </c>
      <c r="N62" s="1681">
        <v>0.05</v>
      </c>
      <c r="O62" s="1681">
        <v>0.05</v>
      </c>
      <c r="P62" s="1681">
        <v>20</v>
      </c>
      <c r="Q62" s="1681"/>
      <c r="R62" s="1681"/>
      <c r="S62" s="1681"/>
      <c r="T62" s="1680">
        <v>550</v>
      </c>
      <c r="U62" s="1681">
        <v>50</v>
      </c>
      <c r="V62" s="1681">
        <v>10</v>
      </c>
      <c r="W62" s="1681">
        <v>40</v>
      </c>
      <c r="X62" s="1681">
        <v>15</v>
      </c>
      <c r="Y62" s="595"/>
      <c r="Z62" s="146"/>
      <c r="AB62" s="146">
        <v>510</v>
      </c>
      <c r="AC62" s="146">
        <v>770</v>
      </c>
      <c r="AD62" s="585">
        <f t="shared" si="1"/>
        <v>640</v>
      </c>
      <c r="AE62" s="146">
        <v>180</v>
      </c>
      <c r="AF62" s="146">
        <v>30</v>
      </c>
      <c r="AI62" s="576" t="s">
        <v>3648</v>
      </c>
      <c r="AJ62" s="597">
        <v>0</v>
      </c>
      <c r="AK62" s="146"/>
      <c r="AM62" s="584">
        <f t="shared" si="2"/>
        <v>51</v>
      </c>
      <c r="AN62" s="1509" t="s">
        <v>4681</v>
      </c>
      <c r="AO62" s="1508" t="s">
        <v>4682</v>
      </c>
    </row>
    <row r="63" spans="2:41" ht="14.25" customHeight="1" x14ac:dyDescent="0.2">
      <c r="B63" s="146"/>
      <c r="C63" s="576">
        <v>1</v>
      </c>
      <c r="D63" s="146">
        <v>1190</v>
      </c>
      <c r="E63" s="584">
        <v>52</v>
      </c>
      <c r="F63" s="146" t="s">
        <v>3408</v>
      </c>
      <c r="G63" s="1680">
        <v>1</v>
      </c>
      <c r="H63" s="1681">
        <v>180</v>
      </c>
      <c r="I63" s="1681">
        <v>2.1800000000000002</v>
      </c>
      <c r="J63" s="1681">
        <v>0.75</v>
      </c>
      <c r="K63" s="1681">
        <v>1.04</v>
      </c>
      <c r="L63" s="1681">
        <v>0.48</v>
      </c>
      <c r="M63" s="1681">
        <v>2.57</v>
      </c>
      <c r="N63" s="1681">
        <v>0.26</v>
      </c>
      <c r="O63" s="1681">
        <v>0.55000000000000004</v>
      </c>
      <c r="P63" s="1681">
        <v>20</v>
      </c>
      <c r="Q63" s="1681"/>
      <c r="R63" s="1681"/>
      <c r="S63" s="1681"/>
      <c r="T63" s="1680">
        <v>80</v>
      </c>
      <c r="U63" s="1681">
        <v>10</v>
      </c>
      <c r="V63" s="1681">
        <v>10</v>
      </c>
      <c r="W63" s="1681">
        <v>40</v>
      </c>
      <c r="X63" s="1681">
        <v>15</v>
      </c>
      <c r="Y63" s="595"/>
      <c r="Z63" s="146"/>
      <c r="AB63" s="146">
        <v>40</v>
      </c>
      <c r="AC63" s="146">
        <v>120</v>
      </c>
      <c r="AD63" s="585">
        <f t="shared" si="1"/>
        <v>80</v>
      </c>
      <c r="AE63" s="146">
        <v>200</v>
      </c>
      <c r="AF63" s="146">
        <v>30</v>
      </c>
      <c r="AI63" s="576" t="s">
        <v>3648</v>
      </c>
      <c r="AJ63" s="597">
        <v>0</v>
      </c>
      <c r="AK63" s="146"/>
      <c r="AM63" s="584">
        <f t="shared" si="2"/>
        <v>52</v>
      </c>
      <c r="AN63" s="1509" t="s">
        <v>4681</v>
      </c>
      <c r="AO63" s="1508" t="s">
        <v>4682</v>
      </c>
    </row>
    <row r="64" spans="2:41" ht="14.25" customHeight="1" x14ac:dyDescent="0.2">
      <c r="B64" s="146"/>
      <c r="C64" s="576">
        <v>1</v>
      </c>
      <c r="D64" s="146">
        <v>7120</v>
      </c>
      <c r="E64" s="584">
        <v>53</v>
      </c>
      <c r="F64" s="146" t="s">
        <v>4897</v>
      </c>
      <c r="G64" s="1680">
        <v>1</v>
      </c>
      <c r="H64" s="1681">
        <v>140</v>
      </c>
      <c r="I64" s="1681">
        <v>0.39</v>
      </c>
      <c r="J64" s="1681">
        <v>0.21</v>
      </c>
      <c r="K64" s="1681">
        <v>0.21</v>
      </c>
      <c r="L64" s="1681">
        <v>0.48</v>
      </c>
      <c r="M64" s="1681">
        <v>0.48</v>
      </c>
      <c r="N64" s="1681">
        <v>0.05</v>
      </c>
      <c r="O64" s="1681">
        <v>0.05</v>
      </c>
      <c r="P64" s="1681">
        <v>20</v>
      </c>
      <c r="Q64" s="1681"/>
      <c r="R64" s="1681"/>
      <c r="S64" s="1681"/>
      <c r="T64" s="1680">
        <v>250</v>
      </c>
      <c r="U64" s="1681">
        <v>50</v>
      </c>
      <c r="V64" s="1681">
        <v>10</v>
      </c>
      <c r="W64" s="1681">
        <v>40</v>
      </c>
      <c r="X64" s="1681">
        <v>15</v>
      </c>
      <c r="Y64" s="595"/>
      <c r="Z64" s="146"/>
      <c r="AB64" s="146">
        <v>310</v>
      </c>
      <c r="AC64" s="146">
        <v>430</v>
      </c>
      <c r="AD64" s="585">
        <f t="shared" si="1"/>
        <v>370</v>
      </c>
      <c r="AE64" s="146">
        <v>130</v>
      </c>
      <c r="AF64" s="146">
        <v>30</v>
      </c>
      <c r="AI64" s="576" t="s">
        <v>3648</v>
      </c>
      <c r="AJ64" s="597">
        <v>0</v>
      </c>
      <c r="AK64" s="146"/>
      <c r="AM64" s="584">
        <f t="shared" si="2"/>
        <v>53</v>
      </c>
      <c r="AN64" s="1509" t="s">
        <v>4683</v>
      </c>
      <c r="AO64" s="1508" t="s">
        <v>4684</v>
      </c>
    </row>
    <row r="65" spans="2:42" ht="14.25" customHeight="1" x14ac:dyDescent="0.2">
      <c r="B65" s="146"/>
      <c r="C65" s="576">
        <v>1</v>
      </c>
      <c r="D65" s="146">
        <v>7114</v>
      </c>
      <c r="E65" s="584">
        <v>54</v>
      </c>
      <c r="F65" s="146" t="s">
        <v>4898</v>
      </c>
      <c r="G65" s="1680">
        <v>1</v>
      </c>
      <c r="H65" s="1681">
        <v>160</v>
      </c>
      <c r="I65" s="1681">
        <v>0.49</v>
      </c>
      <c r="J65" s="1681">
        <v>0.2</v>
      </c>
      <c r="K65" s="1681">
        <v>0.2</v>
      </c>
      <c r="L65" s="1681">
        <v>0.41</v>
      </c>
      <c r="M65" s="1681">
        <v>0.41</v>
      </c>
      <c r="N65" s="1681">
        <v>0.05</v>
      </c>
      <c r="O65" s="1681">
        <v>0.05</v>
      </c>
      <c r="P65" s="1681">
        <v>20</v>
      </c>
      <c r="Q65" s="1681"/>
      <c r="R65" s="1681"/>
      <c r="S65" s="1681"/>
      <c r="T65" s="1680">
        <v>300</v>
      </c>
      <c r="U65" s="1681">
        <v>50</v>
      </c>
      <c r="V65" s="1681">
        <v>10</v>
      </c>
      <c r="W65" s="1681">
        <v>40</v>
      </c>
      <c r="X65" s="1681">
        <v>20</v>
      </c>
      <c r="Y65" s="595"/>
      <c r="Z65" s="146"/>
      <c r="AB65" s="146">
        <v>310</v>
      </c>
      <c r="AC65" s="146">
        <v>430</v>
      </c>
      <c r="AD65" s="585">
        <f t="shared" si="1"/>
        <v>370</v>
      </c>
      <c r="AE65" s="146">
        <v>180</v>
      </c>
      <c r="AF65" s="146">
        <v>30</v>
      </c>
      <c r="AI65" s="576" t="s">
        <v>3648</v>
      </c>
      <c r="AJ65" s="597">
        <v>0</v>
      </c>
      <c r="AK65" s="146"/>
      <c r="AM65" s="584">
        <f t="shared" si="2"/>
        <v>54</v>
      </c>
      <c r="AN65" s="1508"/>
      <c r="AO65" s="1508"/>
    </row>
    <row r="66" spans="2:42" ht="14.25" customHeight="1" x14ac:dyDescent="0.2">
      <c r="B66" s="146"/>
      <c r="C66" s="576">
        <v>1</v>
      </c>
      <c r="D66" s="146">
        <v>7116</v>
      </c>
      <c r="E66" s="584">
        <v>55</v>
      </c>
      <c r="F66" s="146" t="s">
        <v>4899</v>
      </c>
      <c r="G66" s="1680">
        <v>1</v>
      </c>
      <c r="H66" s="1681">
        <v>160</v>
      </c>
      <c r="I66" s="1681">
        <v>0.39</v>
      </c>
      <c r="J66" s="1681">
        <v>0.21</v>
      </c>
      <c r="K66" s="1681">
        <v>0.21</v>
      </c>
      <c r="L66" s="1681">
        <v>0.48</v>
      </c>
      <c r="M66" s="1681">
        <v>0.48</v>
      </c>
      <c r="N66" s="1681">
        <v>0.05</v>
      </c>
      <c r="O66" s="1681">
        <v>0.05</v>
      </c>
      <c r="P66" s="1681">
        <v>20</v>
      </c>
      <c r="Q66" s="1681"/>
      <c r="R66" s="1681"/>
      <c r="S66" s="1681"/>
      <c r="T66" s="1680">
        <v>300</v>
      </c>
      <c r="U66" s="1681">
        <v>50</v>
      </c>
      <c r="V66" s="1681">
        <v>10</v>
      </c>
      <c r="W66" s="1681">
        <v>40</v>
      </c>
      <c r="X66" s="1681">
        <v>20</v>
      </c>
      <c r="Y66" s="595"/>
      <c r="Z66" s="146"/>
      <c r="AB66" s="146">
        <v>310</v>
      </c>
      <c r="AC66" s="146">
        <v>430</v>
      </c>
      <c r="AD66" s="585">
        <f t="shared" si="1"/>
        <v>370</v>
      </c>
      <c r="AE66" s="146">
        <v>150</v>
      </c>
      <c r="AF66" s="146">
        <v>30</v>
      </c>
      <c r="AI66" s="576" t="s">
        <v>3648</v>
      </c>
      <c r="AJ66" s="597">
        <v>0</v>
      </c>
      <c r="AK66" s="146"/>
      <c r="AM66" s="584">
        <f t="shared" si="2"/>
        <v>55</v>
      </c>
      <c r="AN66" s="1508"/>
      <c r="AO66" s="1508"/>
    </row>
    <row r="67" spans="2:42" ht="14.25" customHeight="1" x14ac:dyDescent="0.2">
      <c r="B67" s="146"/>
      <c r="C67" s="576">
        <v>1</v>
      </c>
      <c r="D67" s="146">
        <v>7118</v>
      </c>
      <c r="E67" s="584">
        <v>56</v>
      </c>
      <c r="F67" s="146" t="s">
        <v>4900</v>
      </c>
      <c r="G67" s="1680">
        <v>1</v>
      </c>
      <c r="H67" s="1681">
        <v>140</v>
      </c>
      <c r="I67" s="1681">
        <v>0.53</v>
      </c>
      <c r="J67" s="1681">
        <v>0.22</v>
      </c>
      <c r="K67" s="1681">
        <v>0.22</v>
      </c>
      <c r="L67" s="1681">
        <v>0.94</v>
      </c>
      <c r="M67" s="1681">
        <v>0.94</v>
      </c>
      <c r="N67" s="1681">
        <v>0.05</v>
      </c>
      <c r="O67" s="1681">
        <v>0.05</v>
      </c>
      <c r="P67" s="1681">
        <v>20</v>
      </c>
      <c r="Q67" s="1681"/>
      <c r="R67" s="1681"/>
      <c r="S67" s="1681"/>
      <c r="T67" s="1680">
        <v>250</v>
      </c>
      <c r="U67" s="1681">
        <v>50</v>
      </c>
      <c r="V67" s="1681">
        <v>10</v>
      </c>
      <c r="W67" s="1681">
        <v>40</v>
      </c>
      <c r="X67" s="1681">
        <v>15</v>
      </c>
      <c r="Y67" s="595"/>
      <c r="Z67" s="146"/>
      <c r="AB67" s="146">
        <v>260</v>
      </c>
      <c r="AC67" s="146">
        <v>400</v>
      </c>
      <c r="AD67" s="585">
        <f t="shared" si="1"/>
        <v>330</v>
      </c>
      <c r="AE67" s="146">
        <v>110</v>
      </c>
      <c r="AF67" s="146">
        <v>30</v>
      </c>
      <c r="AI67" s="576" t="s">
        <v>3648</v>
      </c>
      <c r="AJ67" s="597">
        <v>0</v>
      </c>
      <c r="AK67" s="146"/>
      <c r="AM67" s="584">
        <f t="shared" si="2"/>
        <v>56</v>
      </c>
      <c r="AN67" s="1508"/>
      <c r="AO67" s="1508"/>
    </row>
    <row r="68" spans="2:42" ht="14.25" customHeight="1" x14ac:dyDescent="0.2">
      <c r="B68" s="146"/>
      <c r="C68" s="576">
        <v>1</v>
      </c>
      <c r="D68" s="146">
        <v>7122</v>
      </c>
      <c r="E68" s="584">
        <v>57</v>
      </c>
      <c r="F68" s="146" t="s">
        <v>4901</v>
      </c>
      <c r="G68" s="1680">
        <v>1</v>
      </c>
      <c r="H68" s="1681">
        <v>120</v>
      </c>
      <c r="I68" s="1681">
        <v>0.47</v>
      </c>
      <c r="J68" s="1681">
        <v>0.12</v>
      </c>
      <c r="K68" s="1681">
        <v>0.12</v>
      </c>
      <c r="L68" s="1681">
        <v>0.98</v>
      </c>
      <c r="M68" s="1681">
        <v>0.98</v>
      </c>
      <c r="N68" s="1681">
        <v>0.05</v>
      </c>
      <c r="O68" s="1681">
        <v>0.05</v>
      </c>
      <c r="P68" s="1681">
        <v>20</v>
      </c>
      <c r="Q68" s="1681"/>
      <c r="R68" s="1681"/>
      <c r="S68" s="1681"/>
      <c r="T68" s="1680">
        <v>400</v>
      </c>
      <c r="U68" s="1681">
        <v>50</v>
      </c>
      <c r="V68" s="1681">
        <v>10</v>
      </c>
      <c r="W68" s="1681">
        <v>40</v>
      </c>
      <c r="X68" s="1681">
        <v>15</v>
      </c>
      <c r="Y68" s="595"/>
      <c r="Z68" s="146"/>
      <c r="AB68" s="146">
        <v>250</v>
      </c>
      <c r="AC68" s="146">
        <v>350</v>
      </c>
      <c r="AD68" s="585">
        <f t="shared" si="1"/>
        <v>300</v>
      </c>
      <c r="AE68" s="146">
        <v>80</v>
      </c>
      <c r="AF68" s="146">
        <v>30</v>
      </c>
      <c r="AI68" s="576" t="s">
        <v>3648</v>
      </c>
      <c r="AJ68" s="597">
        <v>0</v>
      </c>
      <c r="AK68" s="146"/>
      <c r="AM68" s="584">
        <f t="shared" si="2"/>
        <v>57</v>
      </c>
      <c r="AN68" s="1508"/>
      <c r="AO68" s="1508"/>
    </row>
    <row r="69" spans="2:42" ht="14.25" customHeight="1" x14ac:dyDescent="0.2">
      <c r="B69" s="146"/>
      <c r="C69" s="576">
        <v>1</v>
      </c>
      <c r="D69" s="146">
        <v>7124</v>
      </c>
      <c r="E69" s="584">
        <v>58</v>
      </c>
      <c r="F69" s="146" t="s">
        <v>4902</v>
      </c>
      <c r="G69" s="1680">
        <v>1</v>
      </c>
      <c r="H69" s="1681">
        <v>190</v>
      </c>
      <c r="I69" s="1681">
        <v>0.34</v>
      </c>
      <c r="J69" s="1681">
        <v>0.17</v>
      </c>
      <c r="K69" s="1681">
        <v>0.17</v>
      </c>
      <c r="L69" s="1681">
        <v>0.72</v>
      </c>
      <c r="M69" s="1681">
        <v>0.72</v>
      </c>
      <c r="N69" s="1681">
        <v>0.05</v>
      </c>
      <c r="O69" s="1681">
        <v>0.05</v>
      </c>
      <c r="P69" s="1681">
        <v>20</v>
      </c>
      <c r="Q69" s="1681"/>
      <c r="R69" s="1681"/>
      <c r="S69" s="1681"/>
      <c r="T69" s="1680">
        <v>500</v>
      </c>
      <c r="U69" s="1681">
        <v>50</v>
      </c>
      <c r="V69" s="1681">
        <v>10</v>
      </c>
      <c r="W69" s="1681">
        <v>40</v>
      </c>
      <c r="X69" s="1681">
        <v>15</v>
      </c>
      <c r="Y69" s="595"/>
      <c r="Z69" s="146"/>
      <c r="AB69" s="146">
        <v>350</v>
      </c>
      <c r="AC69" s="146">
        <v>500</v>
      </c>
      <c r="AD69" s="585">
        <f t="shared" si="1"/>
        <v>425</v>
      </c>
      <c r="AE69" s="146">
        <v>150</v>
      </c>
      <c r="AF69" s="146">
        <v>30</v>
      </c>
      <c r="AI69" s="576" t="s">
        <v>3648</v>
      </c>
      <c r="AJ69" s="597">
        <v>0</v>
      </c>
      <c r="AK69" s="146"/>
      <c r="AM69" s="584">
        <f t="shared" si="2"/>
        <v>58</v>
      </c>
      <c r="AN69" s="1508"/>
      <c r="AO69" s="1508"/>
    </row>
    <row r="70" spans="2:42" ht="14.25" customHeight="1" x14ac:dyDescent="0.2">
      <c r="B70" s="146"/>
      <c r="C70" s="576">
        <v>1</v>
      </c>
      <c r="D70" s="146">
        <v>9070</v>
      </c>
      <c r="E70" s="584">
        <v>59</v>
      </c>
      <c r="F70" s="146" t="s">
        <v>3415</v>
      </c>
      <c r="G70" s="576">
        <v>1</v>
      </c>
      <c r="H70" s="1728"/>
      <c r="I70" s="146">
        <v>8.5</v>
      </c>
      <c r="J70" s="146">
        <v>1</v>
      </c>
      <c r="K70" s="146">
        <v>2</v>
      </c>
      <c r="L70" s="146">
        <v>2.6</v>
      </c>
      <c r="M70" s="146">
        <v>7.3</v>
      </c>
      <c r="N70" s="146">
        <v>0.5</v>
      </c>
      <c r="O70" s="146">
        <v>2.2000000000000002</v>
      </c>
      <c r="P70" s="146">
        <v>60</v>
      </c>
      <c r="T70" s="1727"/>
      <c r="U70" s="1728"/>
      <c r="V70" s="1728"/>
      <c r="W70" s="1728"/>
      <c r="X70" s="1728"/>
      <c r="Y70" s="595"/>
      <c r="Z70" s="146"/>
      <c r="AB70" s="146">
        <v>10</v>
      </c>
      <c r="AC70" s="146">
        <v>30</v>
      </c>
      <c r="AD70" s="585">
        <f t="shared" si="1"/>
        <v>20</v>
      </c>
      <c r="AE70" s="146">
        <v>220</v>
      </c>
      <c r="AF70" s="146">
        <v>30</v>
      </c>
      <c r="AI70" s="576" t="s">
        <v>3648</v>
      </c>
      <c r="AJ70" s="597" t="s">
        <v>3415</v>
      </c>
      <c r="AK70" s="146"/>
      <c r="AM70" s="584">
        <f t="shared" si="2"/>
        <v>59</v>
      </c>
      <c r="AN70" s="593" t="s">
        <v>4685</v>
      </c>
      <c r="AO70" s="146" t="s">
        <v>4686</v>
      </c>
      <c r="AP70" s="146" t="str">
        <f>IF(H70*T70*U70*V70*W70*X70=0,"nein","ja")</f>
        <v>nein</v>
      </c>
    </row>
    <row r="71" spans="2:42" ht="14.25" customHeight="1" x14ac:dyDescent="0.2">
      <c r="B71" s="146"/>
      <c r="C71" s="576">
        <v>1</v>
      </c>
      <c r="D71" s="146">
        <v>2610</v>
      </c>
      <c r="E71" s="584">
        <v>60</v>
      </c>
      <c r="F71" s="146" t="s">
        <v>3416</v>
      </c>
      <c r="G71" s="1680">
        <v>1</v>
      </c>
      <c r="H71" s="1681">
        <v>160</v>
      </c>
      <c r="I71" s="1681">
        <v>0.4</v>
      </c>
      <c r="J71" s="1681">
        <v>0.24</v>
      </c>
      <c r="K71" s="1681">
        <v>0.24</v>
      </c>
      <c r="L71" s="1681">
        <v>0.88</v>
      </c>
      <c r="M71" s="1681">
        <v>0.88</v>
      </c>
      <c r="N71" s="1681">
        <v>0.45</v>
      </c>
      <c r="O71" s="1681">
        <v>0.45</v>
      </c>
      <c r="P71" s="1681">
        <v>20</v>
      </c>
      <c r="Q71" s="1681"/>
      <c r="R71" s="1681"/>
      <c r="S71" s="1681"/>
      <c r="T71" s="1680">
        <v>300</v>
      </c>
      <c r="U71" s="1681">
        <v>50</v>
      </c>
      <c r="V71" s="1681">
        <v>10</v>
      </c>
      <c r="W71" s="1681">
        <v>40</v>
      </c>
      <c r="X71" s="1681">
        <v>15</v>
      </c>
      <c r="Y71" s="595"/>
      <c r="Z71" s="146"/>
      <c r="AB71" s="146">
        <v>150</v>
      </c>
      <c r="AC71" s="146">
        <v>400</v>
      </c>
      <c r="AD71" s="585">
        <f t="shared" si="1"/>
        <v>275</v>
      </c>
      <c r="AE71" s="146">
        <v>140</v>
      </c>
      <c r="AF71" s="146">
        <v>30</v>
      </c>
      <c r="AI71" s="576" t="s">
        <v>3648</v>
      </c>
      <c r="AJ71" s="597">
        <v>0</v>
      </c>
      <c r="AK71" s="146"/>
      <c r="AM71" s="584">
        <f t="shared" si="2"/>
        <v>60</v>
      </c>
      <c r="AN71" s="146">
        <v>701</v>
      </c>
      <c r="AO71" s="146" t="s">
        <v>4687</v>
      </c>
    </row>
    <row r="72" spans="2:42" ht="14.25" customHeight="1" x14ac:dyDescent="0.2">
      <c r="B72" s="146"/>
      <c r="C72" s="576">
        <v>1</v>
      </c>
      <c r="D72" s="146">
        <v>2700</v>
      </c>
      <c r="E72" s="584">
        <v>61</v>
      </c>
      <c r="F72" s="146" t="s">
        <v>3417</v>
      </c>
      <c r="G72" s="1680">
        <v>1</v>
      </c>
      <c r="H72" s="1681">
        <v>120</v>
      </c>
      <c r="I72" s="1681">
        <v>0.15</v>
      </c>
      <c r="J72" s="1681">
        <v>0.12</v>
      </c>
      <c r="K72" s="1681">
        <v>0.12</v>
      </c>
      <c r="L72" s="1681">
        <v>0.6</v>
      </c>
      <c r="M72" s="1681">
        <v>0.6</v>
      </c>
      <c r="N72" s="1681">
        <v>0.25</v>
      </c>
      <c r="O72" s="1681">
        <v>0.25</v>
      </c>
      <c r="P72" s="1681">
        <v>20</v>
      </c>
      <c r="Q72" s="1681"/>
      <c r="R72" s="1681"/>
      <c r="S72" s="1681"/>
      <c r="T72" s="1680">
        <v>200</v>
      </c>
      <c r="U72" s="1681">
        <v>50</v>
      </c>
      <c r="V72" s="1681">
        <v>10</v>
      </c>
      <c r="W72" s="1681">
        <v>40</v>
      </c>
      <c r="X72" s="1681">
        <v>15</v>
      </c>
      <c r="Y72" s="595"/>
      <c r="Z72" s="146"/>
      <c r="AB72" s="146">
        <v>100</v>
      </c>
      <c r="AC72" s="146">
        <v>250</v>
      </c>
      <c r="AD72" s="585">
        <f t="shared" si="1"/>
        <v>175</v>
      </c>
      <c r="AE72" s="146">
        <v>70</v>
      </c>
      <c r="AF72" s="146">
        <v>30</v>
      </c>
      <c r="AI72" s="576" t="s">
        <v>3648</v>
      </c>
      <c r="AJ72" s="597">
        <v>0</v>
      </c>
      <c r="AK72" s="146"/>
      <c r="AM72" s="584">
        <f t="shared" si="2"/>
        <v>61</v>
      </c>
      <c r="AN72" s="146">
        <v>852</v>
      </c>
      <c r="AO72" s="146" t="s">
        <v>4688</v>
      </c>
    </row>
    <row r="73" spans="2:42" ht="14.25" customHeight="1" x14ac:dyDescent="0.2">
      <c r="B73" s="146"/>
      <c r="C73" s="576">
        <v>1</v>
      </c>
      <c r="D73" s="146">
        <v>3100</v>
      </c>
      <c r="E73" s="584">
        <v>62</v>
      </c>
      <c r="F73" s="146" t="s">
        <v>3418</v>
      </c>
      <c r="G73" s="1680">
        <v>1</v>
      </c>
      <c r="H73" s="1681">
        <v>170</v>
      </c>
      <c r="I73" s="1681">
        <v>0.35</v>
      </c>
      <c r="J73" s="1681">
        <v>0.15</v>
      </c>
      <c r="K73" s="1681">
        <v>0.17</v>
      </c>
      <c r="L73" s="1681">
        <v>0.63</v>
      </c>
      <c r="M73" s="1681">
        <v>0.73</v>
      </c>
      <c r="N73" s="1681">
        <v>0.02</v>
      </c>
      <c r="O73" s="1681">
        <v>0.05</v>
      </c>
      <c r="P73" s="1681">
        <v>20</v>
      </c>
      <c r="Q73" s="1681"/>
      <c r="R73" s="1681"/>
      <c r="S73" s="1681"/>
      <c r="T73" s="1680">
        <v>600</v>
      </c>
      <c r="U73" s="1681">
        <v>50</v>
      </c>
      <c r="V73" s="1681">
        <v>10</v>
      </c>
      <c r="W73" s="1681">
        <v>40</v>
      </c>
      <c r="X73" s="1681">
        <v>15</v>
      </c>
      <c r="Y73" s="595"/>
      <c r="Z73" s="146"/>
      <c r="AB73" s="146">
        <v>200</v>
      </c>
      <c r="AC73" s="146">
        <v>800</v>
      </c>
      <c r="AD73" s="585">
        <f t="shared" si="1"/>
        <v>500</v>
      </c>
      <c r="AE73" s="146">
        <v>120</v>
      </c>
      <c r="AF73" s="146">
        <v>30</v>
      </c>
      <c r="AI73" s="576" t="s">
        <v>3648</v>
      </c>
      <c r="AJ73" s="597">
        <v>0</v>
      </c>
      <c r="AK73" s="146"/>
      <c r="AM73" s="584">
        <f t="shared" si="2"/>
        <v>62</v>
      </c>
      <c r="AN73" s="146">
        <v>604</v>
      </c>
      <c r="AO73" s="146" t="s">
        <v>3418</v>
      </c>
    </row>
    <row r="74" spans="2:42" ht="14.25" customHeight="1" x14ac:dyDescent="0.2">
      <c r="B74" s="146"/>
      <c r="C74" s="576">
        <v>1</v>
      </c>
      <c r="D74" s="146">
        <v>2200</v>
      </c>
      <c r="E74" s="584">
        <v>63</v>
      </c>
      <c r="F74" s="146" t="s">
        <v>3419</v>
      </c>
      <c r="G74" s="1680">
        <v>1</v>
      </c>
      <c r="H74" s="1681">
        <v>100</v>
      </c>
      <c r="I74" s="1681">
        <v>1</v>
      </c>
      <c r="J74" s="1681">
        <v>0.64</v>
      </c>
      <c r="K74" s="1681">
        <v>0.64</v>
      </c>
      <c r="L74" s="1681">
        <v>1.71</v>
      </c>
      <c r="M74" s="1681">
        <v>1.71</v>
      </c>
      <c r="N74" s="1681">
        <v>0.41</v>
      </c>
      <c r="O74" s="1681">
        <v>0.41</v>
      </c>
      <c r="P74" s="1681">
        <v>20</v>
      </c>
      <c r="Q74" s="1681"/>
      <c r="R74" s="1681"/>
      <c r="S74" s="1681"/>
      <c r="T74" s="1680">
        <v>60</v>
      </c>
      <c r="U74" s="1681">
        <v>10</v>
      </c>
      <c r="V74" s="1681">
        <v>10</v>
      </c>
      <c r="W74" s="1681">
        <v>40</v>
      </c>
      <c r="X74" s="1681">
        <v>15</v>
      </c>
      <c r="Y74" s="595"/>
      <c r="Z74" s="146"/>
      <c r="AB74" s="146">
        <v>20</v>
      </c>
      <c r="AC74" s="146">
        <v>120</v>
      </c>
      <c r="AD74" s="585">
        <f t="shared" si="1"/>
        <v>70</v>
      </c>
      <c r="AE74" s="146">
        <v>70</v>
      </c>
      <c r="AF74" s="146">
        <v>30</v>
      </c>
      <c r="AI74" s="576" t="s">
        <v>3648</v>
      </c>
      <c r="AJ74" s="597">
        <v>0</v>
      </c>
      <c r="AK74" s="146"/>
      <c r="AM74" s="584">
        <f t="shared" si="2"/>
        <v>63</v>
      </c>
      <c r="AN74" s="146">
        <v>341</v>
      </c>
      <c r="AO74" s="146" t="s">
        <v>4667</v>
      </c>
    </row>
    <row r="75" spans="2:42" ht="14.25" customHeight="1" x14ac:dyDescent="0.2">
      <c r="B75" s="146"/>
      <c r="C75" s="576">
        <v>1</v>
      </c>
      <c r="D75" s="146">
        <v>2500</v>
      </c>
      <c r="E75" s="584">
        <v>64</v>
      </c>
      <c r="F75" s="146" t="s">
        <v>3420</v>
      </c>
      <c r="G75" s="1680">
        <v>1</v>
      </c>
      <c r="H75" s="1681">
        <v>120</v>
      </c>
      <c r="I75" s="1681">
        <v>0.35</v>
      </c>
      <c r="J75" s="1681">
        <v>0.11</v>
      </c>
      <c r="K75" s="1681">
        <v>0.11</v>
      </c>
      <c r="L75" s="1681">
        <v>0.45</v>
      </c>
      <c r="M75" s="1681">
        <v>0.45</v>
      </c>
      <c r="N75" s="1681">
        <v>0.05</v>
      </c>
      <c r="O75" s="1681">
        <v>0.05</v>
      </c>
      <c r="P75" s="1681">
        <v>20</v>
      </c>
      <c r="Q75" s="1681"/>
      <c r="R75" s="1681"/>
      <c r="S75" s="1681"/>
      <c r="T75" s="1680">
        <v>300</v>
      </c>
      <c r="U75" s="1681">
        <v>50</v>
      </c>
      <c r="V75" s="1681">
        <v>10</v>
      </c>
      <c r="W75" s="1681">
        <v>40</v>
      </c>
      <c r="X75" s="1681">
        <v>15</v>
      </c>
      <c r="Y75" s="595"/>
      <c r="Z75" s="146"/>
      <c r="AB75" s="146">
        <v>50</v>
      </c>
      <c r="AC75" s="146">
        <v>400</v>
      </c>
      <c r="AD75" s="585">
        <f t="shared" si="1"/>
        <v>225</v>
      </c>
      <c r="AE75" s="146">
        <v>80</v>
      </c>
      <c r="AF75" s="146">
        <v>30</v>
      </c>
      <c r="AI75" s="576" t="s">
        <v>3648</v>
      </c>
      <c r="AJ75" s="597">
        <v>0</v>
      </c>
      <c r="AK75" s="146"/>
      <c r="AM75" s="584">
        <f t="shared" si="2"/>
        <v>64</v>
      </c>
      <c r="AN75" s="146">
        <v>777</v>
      </c>
      <c r="AO75" s="146" t="s">
        <v>4689</v>
      </c>
    </row>
    <row r="76" spans="2:42" ht="14.25" customHeight="1" x14ac:dyDescent="0.2">
      <c r="B76" s="146"/>
      <c r="C76" s="576">
        <v>1</v>
      </c>
      <c r="D76" s="146">
        <v>9022</v>
      </c>
      <c r="E76" s="584">
        <v>65</v>
      </c>
      <c r="F76" s="146" t="s">
        <v>3421</v>
      </c>
      <c r="G76" s="1680">
        <v>1</v>
      </c>
      <c r="H76" s="1681">
        <v>100</v>
      </c>
      <c r="I76" s="1681">
        <v>3.6</v>
      </c>
      <c r="J76" s="1681">
        <v>0.39</v>
      </c>
      <c r="K76" s="1681">
        <v>0.78</v>
      </c>
      <c r="L76" s="1681">
        <v>3.35</v>
      </c>
      <c r="M76" s="1681">
        <v>6.7</v>
      </c>
      <c r="N76" s="1681">
        <v>0.28000000000000003</v>
      </c>
      <c r="O76" s="1681">
        <v>0.56000000000000005</v>
      </c>
      <c r="P76" s="1681">
        <v>0</v>
      </c>
      <c r="Q76" s="1681"/>
      <c r="R76" s="1681"/>
      <c r="S76" s="1681"/>
      <c r="T76" s="1680">
        <v>30</v>
      </c>
      <c r="U76" s="1681">
        <v>5</v>
      </c>
      <c r="V76" s="1681">
        <v>10</v>
      </c>
      <c r="W76" s="1681">
        <v>40</v>
      </c>
      <c r="X76" s="1681">
        <v>15</v>
      </c>
      <c r="Y76" s="1682"/>
      <c r="Z76" s="146"/>
      <c r="AB76" s="146">
        <v>20</v>
      </c>
      <c r="AC76" s="146">
        <v>35</v>
      </c>
      <c r="AD76" s="585">
        <f t="shared" si="1"/>
        <v>27.5</v>
      </c>
      <c r="AE76" s="146">
        <v>50</v>
      </c>
      <c r="AF76" s="146">
        <v>0</v>
      </c>
      <c r="AI76" s="576" t="s">
        <v>3648</v>
      </c>
      <c r="AJ76" s="597">
        <v>0</v>
      </c>
      <c r="AK76" s="146"/>
      <c r="AM76" s="584">
        <f t="shared" si="2"/>
        <v>65</v>
      </c>
      <c r="AN76" s="146">
        <v>705</v>
      </c>
      <c r="AO76" s="146" t="s">
        <v>4690</v>
      </c>
    </row>
    <row r="77" spans="2:42" s="606" customFormat="1" ht="14.25" customHeight="1" x14ac:dyDescent="0.2">
      <c r="C77" s="607"/>
      <c r="E77" s="584">
        <v>66</v>
      </c>
      <c r="G77" s="607"/>
      <c r="T77" s="607"/>
      <c r="Y77" s="610"/>
      <c r="AD77" s="607"/>
      <c r="AI77" s="607"/>
      <c r="AJ77" s="614"/>
      <c r="AM77" s="608">
        <f t="shared" si="2"/>
        <v>66</v>
      </c>
    </row>
    <row r="78" spans="2:42" s="603" customFormat="1" ht="14.25" customHeight="1" x14ac:dyDescent="0.2">
      <c r="C78" s="604"/>
      <c r="E78" s="605">
        <v>1</v>
      </c>
      <c r="F78" s="603" t="s">
        <v>3494</v>
      </c>
      <c r="G78" s="604"/>
      <c r="T78" s="604"/>
      <c r="Y78" s="611"/>
      <c r="AD78" s="604"/>
      <c r="AI78" s="604"/>
      <c r="AJ78" s="615"/>
      <c r="AM78" s="605"/>
    </row>
    <row r="79" spans="2:42" ht="14.25" customHeight="1" x14ac:dyDescent="0.2">
      <c r="B79" s="146"/>
      <c r="C79" s="576">
        <v>0</v>
      </c>
      <c r="D79" s="146">
        <v>9110</v>
      </c>
      <c r="E79" s="584">
        <v>2</v>
      </c>
      <c r="F79" s="146" t="s">
        <v>3607</v>
      </c>
      <c r="G79" s="576">
        <v>1</v>
      </c>
      <c r="H79" s="146">
        <v>55</v>
      </c>
      <c r="J79" s="586">
        <v>0</v>
      </c>
      <c r="L79" s="146">
        <v>0.2</v>
      </c>
      <c r="N79" s="146">
        <v>0.01</v>
      </c>
      <c r="Q79" s="576">
        <v>8</v>
      </c>
      <c r="R79" s="576">
        <v>35</v>
      </c>
      <c r="S79" s="576">
        <v>6</v>
      </c>
      <c r="T79" s="576">
        <v>450</v>
      </c>
      <c r="U79" s="146">
        <v>50</v>
      </c>
      <c r="V79" s="146">
        <v>5</v>
      </c>
      <c r="X79" s="146">
        <v>10</v>
      </c>
      <c r="Y79" s="595"/>
      <c r="Z79" s="146"/>
      <c r="AD79" s="576"/>
      <c r="AE79" s="146">
        <v>65</v>
      </c>
      <c r="AI79" s="576" t="s">
        <v>3650</v>
      </c>
      <c r="AJ79" s="597" t="s">
        <v>3650</v>
      </c>
      <c r="AK79" s="146"/>
      <c r="AN79" s="146">
        <v>821</v>
      </c>
      <c r="AO79" s="146" t="s">
        <v>4691</v>
      </c>
    </row>
    <row r="80" spans="2:42" ht="14.25" customHeight="1" x14ac:dyDescent="0.2">
      <c r="B80" s="146"/>
      <c r="C80" s="576">
        <v>0</v>
      </c>
      <c r="D80" s="146">
        <v>9120</v>
      </c>
      <c r="E80" s="584">
        <f t="shared" ref="E80:E93" si="3">E79+1</f>
        <v>3</v>
      </c>
      <c r="F80" s="146" t="s">
        <v>3608</v>
      </c>
      <c r="G80" s="576">
        <v>1</v>
      </c>
      <c r="H80" s="146">
        <v>60</v>
      </c>
      <c r="J80" s="146">
        <v>0.1</v>
      </c>
      <c r="L80" s="146">
        <v>0.3</v>
      </c>
      <c r="N80" s="146">
        <v>0.02</v>
      </c>
      <c r="Q80" s="576">
        <v>8</v>
      </c>
      <c r="R80" s="576">
        <v>35</v>
      </c>
      <c r="S80" s="576">
        <v>6</v>
      </c>
      <c r="T80" s="576">
        <v>180</v>
      </c>
      <c r="U80" s="146">
        <v>50</v>
      </c>
      <c r="V80" s="146">
        <v>10</v>
      </c>
      <c r="X80" s="146">
        <v>15</v>
      </c>
      <c r="Y80" s="595"/>
      <c r="Z80" s="146"/>
      <c r="AD80" s="576"/>
      <c r="AE80" s="146">
        <v>80</v>
      </c>
      <c r="AI80" s="576" t="s">
        <v>3650</v>
      </c>
      <c r="AJ80" s="597" t="s">
        <v>3650</v>
      </c>
      <c r="AK80" s="146"/>
      <c r="AN80" s="146">
        <v>821</v>
      </c>
      <c r="AO80" s="146" t="s">
        <v>4691</v>
      </c>
    </row>
    <row r="81" spans="2:41" ht="14.25" customHeight="1" x14ac:dyDescent="0.2">
      <c r="B81" s="146"/>
      <c r="C81" s="576">
        <v>0</v>
      </c>
      <c r="D81" s="146">
        <v>9121</v>
      </c>
      <c r="E81" s="584">
        <f t="shared" si="3"/>
        <v>4</v>
      </c>
      <c r="F81" s="146" t="s">
        <v>3609</v>
      </c>
      <c r="G81" s="576">
        <v>1</v>
      </c>
      <c r="H81" s="146">
        <v>50</v>
      </c>
      <c r="J81" s="146">
        <v>0.1</v>
      </c>
      <c r="L81" s="146">
        <v>0.3</v>
      </c>
      <c r="N81" s="146">
        <v>0.02</v>
      </c>
      <c r="Q81" s="576">
        <v>8</v>
      </c>
      <c r="R81" s="576">
        <v>35</v>
      </c>
      <c r="S81" s="576">
        <v>6</v>
      </c>
      <c r="T81" s="576">
        <v>150</v>
      </c>
      <c r="U81" s="146">
        <v>50</v>
      </c>
      <c r="V81" s="146">
        <v>10</v>
      </c>
      <c r="X81" s="146">
        <v>15</v>
      </c>
      <c r="Y81" s="595"/>
      <c r="Z81" s="146"/>
      <c r="AD81" s="576"/>
      <c r="AE81" s="146">
        <v>70</v>
      </c>
      <c r="AI81" s="576" t="s">
        <v>3650</v>
      </c>
      <c r="AJ81" s="597" t="s">
        <v>3650</v>
      </c>
      <c r="AK81" s="146"/>
      <c r="AN81" s="146">
        <v>821</v>
      </c>
      <c r="AO81" s="146" t="s">
        <v>4691</v>
      </c>
    </row>
    <row r="82" spans="2:41" ht="14.25" customHeight="1" x14ac:dyDescent="0.2">
      <c r="B82" s="146"/>
      <c r="C82" s="576">
        <v>0</v>
      </c>
      <c r="D82" s="146">
        <v>9230</v>
      </c>
      <c r="E82" s="584">
        <f t="shared" si="3"/>
        <v>5</v>
      </c>
      <c r="F82" s="146" t="s">
        <v>3610</v>
      </c>
      <c r="G82" s="576">
        <v>1</v>
      </c>
      <c r="H82" s="146">
        <v>50</v>
      </c>
      <c r="J82" s="146">
        <v>0.05</v>
      </c>
      <c r="L82" s="146">
        <v>0.35</v>
      </c>
      <c r="N82" s="146">
        <v>0.03</v>
      </c>
      <c r="Q82" s="576">
        <v>5</v>
      </c>
      <c r="R82" s="576">
        <v>25</v>
      </c>
      <c r="S82" s="576">
        <v>4</v>
      </c>
      <c r="T82" s="576">
        <v>100</v>
      </c>
      <c r="U82" s="146">
        <v>50</v>
      </c>
      <c r="V82" s="146">
        <v>15</v>
      </c>
      <c r="X82" s="146">
        <v>20</v>
      </c>
      <c r="Y82" s="595"/>
      <c r="Z82" s="146"/>
      <c r="AD82" s="576"/>
      <c r="AE82" s="146">
        <v>65</v>
      </c>
      <c r="AI82" s="576" t="s">
        <v>3650</v>
      </c>
      <c r="AJ82" s="597" t="s">
        <v>3650</v>
      </c>
      <c r="AK82" s="146"/>
      <c r="AN82" s="146">
        <v>827</v>
      </c>
      <c r="AO82" s="146" t="s">
        <v>4692</v>
      </c>
    </row>
    <row r="83" spans="2:41" ht="14.25" customHeight="1" x14ac:dyDescent="0.2">
      <c r="B83" s="146"/>
      <c r="C83" s="576">
        <v>0</v>
      </c>
      <c r="D83" s="146">
        <v>9220</v>
      </c>
      <c r="E83" s="584">
        <f t="shared" si="3"/>
        <v>6</v>
      </c>
      <c r="F83" s="146" t="s">
        <v>3611</v>
      </c>
      <c r="G83" s="576">
        <v>1</v>
      </c>
      <c r="H83" s="146">
        <v>70</v>
      </c>
      <c r="J83" s="146">
        <v>0.05</v>
      </c>
      <c r="L83" s="146">
        <v>0.35</v>
      </c>
      <c r="N83" s="146">
        <v>0.03</v>
      </c>
      <c r="Q83" s="576">
        <v>5</v>
      </c>
      <c r="R83" s="576">
        <v>15</v>
      </c>
      <c r="S83" s="576">
        <v>4</v>
      </c>
      <c r="T83" s="576">
        <v>150</v>
      </c>
      <c r="U83" s="146">
        <v>50</v>
      </c>
      <c r="V83" s="146">
        <v>15</v>
      </c>
      <c r="X83" s="146">
        <v>20</v>
      </c>
      <c r="Y83" s="595"/>
      <c r="Z83" s="146"/>
      <c r="AD83" s="576"/>
      <c r="AE83" s="146">
        <v>85</v>
      </c>
      <c r="AI83" s="576" t="s">
        <v>3650</v>
      </c>
      <c r="AJ83" s="597" t="s">
        <v>3650</v>
      </c>
      <c r="AK83" s="146"/>
      <c r="AN83" s="146">
        <v>827</v>
      </c>
      <c r="AO83" s="146" t="s">
        <v>4692</v>
      </c>
    </row>
    <row r="84" spans="2:41" ht="14.25" customHeight="1" x14ac:dyDescent="0.2">
      <c r="B84" s="146"/>
      <c r="C84" s="576">
        <v>0</v>
      </c>
      <c r="D84" s="146">
        <v>9210</v>
      </c>
      <c r="E84" s="584">
        <f t="shared" si="3"/>
        <v>7</v>
      </c>
      <c r="F84" s="146" t="s">
        <v>3612</v>
      </c>
      <c r="G84" s="576">
        <v>1</v>
      </c>
      <c r="H84" s="146">
        <v>70</v>
      </c>
      <c r="J84" s="146">
        <v>0.04</v>
      </c>
      <c r="L84" s="146">
        <v>0.2</v>
      </c>
      <c r="N84" s="146">
        <v>0.05</v>
      </c>
      <c r="Q84" s="576">
        <v>6</v>
      </c>
      <c r="R84" s="576">
        <v>25</v>
      </c>
      <c r="S84" s="576">
        <v>4</v>
      </c>
      <c r="T84" s="576">
        <v>120</v>
      </c>
      <c r="U84" s="146">
        <v>50</v>
      </c>
      <c r="V84" s="146">
        <v>10</v>
      </c>
      <c r="X84" s="146">
        <v>15</v>
      </c>
      <c r="Y84" s="595"/>
      <c r="Z84" s="146"/>
      <c r="AD84" s="576"/>
      <c r="AE84" s="146">
        <v>80</v>
      </c>
      <c r="AI84" s="576" t="s">
        <v>3650</v>
      </c>
      <c r="AJ84" s="597" t="s">
        <v>3650</v>
      </c>
      <c r="AK84" s="146"/>
      <c r="AN84" s="146">
        <v>827</v>
      </c>
      <c r="AO84" s="146" t="s">
        <v>4692</v>
      </c>
    </row>
    <row r="85" spans="2:41" ht="14.25" customHeight="1" x14ac:dyDescent="0.2">
      <c r="B85" s="146"/>
      <c r="C85" s="576">
        <v>0</v>
      </c>
      <c r="D85" s="146">
        <v>9211</v>
      </c>
      <c r="E85" s="584">
        <f t="shared" si="3"/>
        <v>8</v>
      </c>
      <c r="F85" s="146" t="s">
        <v>3613</v>
      </c>
      <c r="G85" s="576">
        <v>1</v>
      </c>
      <c r="H85" s="146">
        <v>60</v>
      </c>
      <c r="J85" s="146">
        <v>0.04</v>
      </c>
      <c r="L85" s="146">
        <v>0.2</v>
      </c>
      <c r="N85" s="146">
        <v>0.05</v>
      </c>
      <c r="Q85" s="576">
        <v>6</v>
      </c>
      <c r="R85" s="576">
        <v>25</v>
      </c>
      <c r="S85" s="576">
        <v>4</v>
      </c>
      <c r="T85" s="576">
        <v>80</v>
      </c>
      <c r="U85" s="146">
        <v>50</v>
      </c>
      <c r="V85" s="146">
        <v>10</v>
      </c>
      <c r="X85" s="146">
        <v>15</v>
      </c>
      <c r="Y85" s="595"/>
      <c r="Z85" s="146"/>
      <c r="AD85" s="576"/>
      <c r="AE85" s="146">
        <v>70</v>
      </c>
      <c r="AI85" s="576" t="s">
        <v>3650</v>
      </c>
      <c r="AJ85" s="597" t="s">
        <v>3650</v>
      </c>
      <c r="AK85" s="146"/>
      <c r="AN85" s="146">
        <v>827</v>
      </c>
      <c r="AO85" s="146" t="s">
        <v>4692</v>
      </c>
    </row>
    <row r="86" spans="2:41" ht="14.25" customHeight="1" x14ac:dyDescent="0.2">
      <c r="B86" s="146"/>
      <c r="C86" s="576">
        <v>0</v>
      </c>
      <c r="D86" s="146">
        <v>9212</v>
      </c>
      <c r="E86" s="584">
        <f t="shared" si="3"/>
        <v>9</v>
      </c>
      <c r="F86" s="146" t="s">
        <v>3614</v>
      </c>
      <c r="G86" s="576">
        <v>1</v>
      </c>
      <c r="H86" s="146">
        <v>50</v>
      </c>
      <c r="J86" s="146">
        <v>0.04</v>
      </c>
      <c r="L86" s="146">
        <v>0.2</v>
      </c>
      <c r="N86" s="146">
        <v>0.05</v>
      </c>
      <c r="Q86" s="576">
        <v>6</v>
      </c>
      <c r="R86" s="576">
        <v>25</v>
      </c>
      <c r="S86" s="576">
        <v>4</v>
      </c>
      <c r="T86" s="576">
        <v>80</v>
      </c>
      <c r="U86" s="146">
        <v>50</v>
      </c>
      <c r="V86" s="146">
        <v>10</v>
      </c>
      <c r="X86" s="146">
        <v>15</v>
      </c>
      <c r="Y86" s="595"/>
      <c r="Z86" s="146"/>
      <c r="AD86" s="576"/>
      <c r="AE86" s="146">
        <v>60</v>
      </c>
      <c r="AI86" s="576" t="s">
        <v>3650</v>
      </c>
      <c r="AJ86" s="597" t="s">
        <v>3650</v>
      </c>
      <c r="AK86" s="146"/>
      <c r="AN86" s="146">
        <v>827</v>
      </c>
      <c r="AO86" s="146" t="s">
        <v>4692</v>
      </c>
    </row>
    <row r="87" spans="2:41" s="595" customFormat="1" ht="14.25" customHeight="1" x14ac:dyDescent="0.2">
      <c r="C87" s="597">
        <v>0</v>
      </c>
      <c r="D87" s="595">
        <v>9051</v>
      </c>
      <c r="E87" s="584">
        <f t="shared" si="3"/>
        <v>10</v>
      </c>
      <c r="F87" s="595" t="s">
        <v>4556</v>
      </c>
      <c r="G87" s="597">
        <v>1</v>
      </c>
      <c r="H87" s="595">
        <v>60</v>
      </c>
      <c r="K87" s="595">
        <v>0.03</v>
      </c>
      <c r="M87" s="595">
        <v>0.1</v>
      </c>
      <c r="O87" s="595">
        <v>0.02</v>
      </c>
      <c r="Q87" s="597">
        <v>1.2</v>
      </c>
      <c r="R87" s="597">
        <v>3</v>
      </c>
      <c r="S87" s="597">
        <v>0.6</v>
      </c>
      <c r="T87" s="597">
        <v>0</v>
      </c>
      <c r="U87" s="595">
        <v>0</v>
      </c>
      <c r="V87" s="595">
        <v>20</v>
      </c>
      <c r="X87" s="595">
        <v>20</v>
      </c>
      <c r="AB87" s="146"/>
      <c r="AD87" s="597"/>
      <c r="AE87" s="595">
        <v>60</v>
      </c>
      <c r="AF87" s="146"/>
      <c r="AI87" s="597" t="str">
        <f>AI86</f>
        <v>Obst</v>
      </c>
      <c r="AJ87" s="597" t="s">
        <v>3615</v>
      </c>
      <c r="AN87" s="595">
        <v>707</v>
      </c>
      <c r="AO87" s="595" t="s">
        <v>3615</v>
      </c>
    </row>
    <row r="88" spans="2:41" s="595" customFormat="1" ht="14.25" customHeight="1" x14ac:dyDescent="0.2">
      <c r="C88" s="597">
        <v>0</v>
      </c>
      <c r="D88" s="595">
        <v>9052</v>
      </c>
      <c r="E88" s="584">
        <f t="shared" si="3"/>
        <v>11</v>
      </c>
      <c r="F88" s="595" t="s">
        <v>4557</v>
      </c>
      <c r="G88" s="597">
        <v>1</v>
      </c>
      <c r="H88" s="595">
        <v>60</v>
      </c>
      <c r="J88" s="595">
        <v>0.05</v>
      </c>
      <c r="K88" s="595">
        <v>0.15</v>
      </c>
      <c r="L88" s="595">
        <v>0.28000000000000003</v>
      </c>
      <c r="M88" s="595">
        <v>0.5</v>
      </c>
      <c r="N88" s="595">
        <v>0.02</v>
      </c>
      <c r="O88" s="595">
        <v>0.1</v>
      </c>
      <c r="Q88" s="597">
        <v>6</v>
      </c>
      <c r="R88" s="597">
        <v>15</v>
      </c>
      <c r="S88" s="597">
        <v>3</v>
      </c>
      <c r="T88" s="597">
        <v>140</v>
      </c>
      <c r="U88" s="595">
        <v>28</v>
      </c>
      <c r="V88" s="595">
        <v>20</v>
      </c>
      <c r="X88" s="595">
        <v>20</v>
      </c>
      <c r="AD88" s="597"/>
      <c r="AE88" s="595">
        <v>999</v>
      </c>
      <c r="AF88" s="146"/>
      <c r="AI88" s="597" t="str">
        <f t="shared" ref="AI88:AI89" si="4">AI87</f>
        <v>Obst</v>
      </c>
      <c r="AJ88" s="597" t="s">
        <v>3615</v>
      </c>
      <c r="AN88" s="595">
        <v>707</v>
      </c>
      <c r="AO88" s="595" t="s">
        <v>3615</v>
      </c>
    </row>
    <row r="89" spans="2:41" s="595" customFormat="1" ht="14.25" customHeight="1" x14ac:dyDescent="0.2">
      <c r="C89" s="597">
        <v>0</v>
      </c>
      <c r="D89" s="595">
        <v>9053</v>
      </c>
      <c r="E89" s="584">
        <f t="shared" si="3"/>
        <v>12</v>
      </c>
      <c r="F89" s="595" t="s">
        <v>4558</v>
      </c>
      <c r="G89" s="597">
        <v>1</v>
      </c>
      <c r="H89" s="595">
        <v>60</v>
      </c>
      <c r="J89" s="595">
        <v>0.05</v>
      </c>
      <c r="K89" s="595">
        <v>0.15</v>
      </c>
      <c r="L89" s="595">
        <v>0.28000000000000003</v>
      </c>
      <c r="M89" s="595">
        <v>0.5</v>
      </c>
      <c r="N89" s="595">
        <v>0.02</v>
      </c>
      <c r="O89" s="595">
        <v>0.1</v>
      </c>
      <c r="Q89" s="597">
        <v>6</v>
      </c>
      <c r="R89" s="597">
        <v>15</v>
      </c>
      <c r="S89" s="597">
        <v>3</v>
      </c>
      <c r="T89" s="597">
        <v>140</v>
      </c>
      <c r="U89" s="595">
        <v>28</v>
      </c>
      <c r="V89" s="595">
        <v>20</v>
      </c>
      <c r="X89" s="595">
        <v>20</v>
      </c>
      <c r="AD89" s="597"/>
      <c r="AE89" s="595">
        <v>999</v>
      </c>
      <c r="AF89" s="146"/>
      <c r="AI89" s="597" t="str">
        <f t="shared" si="4"/>
        <v>Obst</v>
      </c>
      <c r="AJ89" s="597" t="s">
        <v>3615</v>
      </c>
      <c r="AN89" s="595">
        <v>707</v>
      </c>
      <c r="AO89" s="595" t="s">
        <v>3615</v>
      </c>
    </row>
    <row r="90" spans="2:41" ht="14.25" customHeight="1" x14ac:dyDescent="0.2">
      <c r="B90" s="146"/>
      <c r="C90" s="576">
        <v>0</v>
      </c>
      <c r="D90" s="146">
        <v>9350</v>
      </c>
      <c r="E90" s="584">
        <f t="shared" si="3"/>
        <v>13</v>
      </c>
      <c r="F90" s="146" t="s">
        <v>3616</v>
      </c>
      <c r="G90" s="576">
        <v>1</v>
      </c>
      <c r="H90" s="146">
        <v>70</v>
      </c>
      <c r="T90" s="576" t="s">
        <v>3646</v>
      </c>
      <c r="U90" s="146"/>
      <c r="V90" s="146">
        <v>20</v>
      </c>
      <c r="X90" s="146">
        <v>0</v>
      </c>
      <c r="Y90" s="595"/>
      <c r="Z90" s="146"/>
      <c r="AD90" s="576"/>
      <c r="AE90" s="146">
        <v>80</v>
      </c>
      <c r="AI90" s="576" t="s">
        <v>3651</v>
      </c>
      <c r="AJ90" s="597" t="s">
        <v>3651</v>
      </c>
      <c r="AK90" s="146">
        <v>30</v>
      </c>
      <c r="AL90" s="146">
        <v>100</v>
      </c>
      <c r="AN90" s="146">
        <v>843</v>
      </c>
      <c r="AO90" s="146" t="s">
        <v>4693</v>
      </c>
    </row>
    <row r="91" spans="2:41" ht="14.25" customHeight="1" x14ac:dyDescent="0.2">
      <c r="B91" s="146"/>
      <c r="C91" s="576">
        <v>0</v>
      </c>
      <c r="D91" s="146">
        <v>9310</v>
      </c>
      <c r="E91" s="584">
        <f t="shared" si="3"/>
        <v>14</v>
      </c>
      <c r="F91" s="146" t="s">
        <v>3617</v>
      </c>
      <c r="G91" s="576">
        <v>1</v>
      </c>
      <c r="H91" s="146">
        <v>70</v>
      </c>
      <c r="T91" s="576" t="s">
        <v>3647</v>
      </c>
      <c r="U91" s="146"/>
      <c r="V91" s="146">
        <v>10</v>
      </c>
      <c r="X91" s="146">
        <v>5</v>
      </c>
      <c r="Y91" s="595"/>
      <c r="Z91" s="146"/>
      <c r="AD91" s="576"/>
      <c r="AE91" s="146">
        <v>80</v>
      </c>
      <c r="AI91" s="576" t="s">
        <v>3651</v>
      </c>
      <c r="AJ91" s="597" t="s">
        <v>3651</v>
      </c>
      <c r="AK91" s="146">
        <v>70</v>
      </c>
      <c r="AL91" s="146">
        <v>140</v>
      </c>
      <c r="AN91" s="146">
        <v>843</v>
      </c>
      <c r="AO91" s="146" t="s">
        <v>4693</v>
      </c>
    </row>
    <row r="92" spans="2:41" ht="14.25" customHeight="1" x14ac:dyDescent="0.2">
      <c r="B92" s="146"/>
      <c r="C92" s="576">
        <v>0</v>
      </c>
      <c r="D92" s="146">
        <v>9330</v>
      </c>
      <c r="E92" s="584">
        <f t="shared" si="3"/>
        <v>15</v>
      </c>
      <c r="F92" s="146" t="s">
        <v>3618</v>
      </c>
      <c r="G92" s="576">
        <v>1</v>
      </c>
      <c r="H92" s="146">
        <v>60</v>
      </c>
      <c r="T92" s="576" t="s">
        <v>3647</v>
      </c>
      <c r="U92" s="146"/>
      <c r="V92" s="146">
        <v>10</v>
      </c>
      <c r="X92" s="146">
        <v>5</v>
      </c>
      <c r="Y92" s="595"/>
      <c r="Z92" s="146"/>
      <c r="AD92" s="576"/>
      <c r="AE92" s="146">
        <v>80</v>
      </c>
      <c r="AI92" s="576" t="s">
        <v>3651</v>
      </c>
      <c r="AJ92" s="597" t="s">
        <v>3651</v>
      </c>
      <c r="AK92" s="146">
        <v>70</v>
      </c>
      <c r="AL92" s="146">
        <v>140</v>
      </c>
      <c r="AN92" s="146">
        <v>843</v>
      </c>
      <c r="AO92" s="146" t="s">
        <v>4693</v>
      </c>
    </row>
    <row r="93" spans="2:41" ht="14.25" customHeight="1" x14ac:dyDescent="0.2">
      <c r="B93" s="146"/>
      <c r="C93" s="576">
        <v>0</v>
      </c>
      <c r="D93" s="146">
        <v>9320</v>
      </c>
      <c r="E93" s="584">
        <f t="shared" si="3"/>
        <v>16</v>
      </c>
      <c r="F93" s="146" t="s">
        <v>3619</v>
      </c>
      <c r="G93" s="576">
        <v>1</v>
      </c>
      <c r="H93" s="146">
        <v>60</v>
      </c>
      <c r="T93" s="576" t="s">
        <v>3647</v>
      </c>
      <c r="U93" s="146"/>
      <c r="V93" s="146">
        <v>10</v>
      </c>
      <c r="X93" s="146">
        <v>5</v>
      </c>
      <c r="Y93" s="595"/>
      <c r="Z93" s="146"/>
      <c r="AD93" s="576"/>
      <c r="AE93" s="146">
        <v>80</v>
      </c>
      <c r="AI93" s="576" t="s">
        <v>3651</v>
      </c>
      <c r="AJ93" s="597" t="s">
        <v>3651</v>
      </c>
      <c r="AK93" s="146">
        <v>70</v>
      </c>
      <c r="AL93" s="146">
        <v>140</v>
      </c>
      <c r="AN93" s="146">
        <v>843</v>
      </c>
      <c r="AO93" s="146" t="s">
        <v>4693</v>
      </c>
    </row>
    <row r="94" spans="2:41" s="606" customFormat="1" ht="14.25" customHeight="1" x14ac:dyDescent="0.2">
      <c r="C94" s="607"/>
      <c r="G94" s="607"/>
      <c r="T94" s="607"/>
      <c r="Y94" s="610"/>
      <c r="AD94" s="607"/>
      <c r="AI94" s="607"/>
      <c r="AJ94" s="614"/>
    </row>
    <row r="95" spans="2:41" s="603" customFormat="1" ht="14.25" customHeight="1" x14ac:dyDescent="0.25">
      <c r="C95" s="604"/>
      <c r="E95" s="603">
        <v>1</v>
      </c>
      <c r="F95" s="603" t="s">
        <v>3494</v>
      </c>
      <c r="G95" s="604"/>
      <c r="T95" s="609"/>
      <c r="V95" s="609"/>
      <c r="W95" s="604"/>
      <c r="X95" s="609"/>
      <c r="Y95" s="612"/>
      <c r="Z95" s="609"/>
      <c r="AD95" s="604"/>
      <c r="AI95" s="604"/>
      <c r="AJ95" s="615"/>
    </row>
    <row r="96" spans="2:41" x14ac:dyDescent="0.2">
      <c r="B96" s="146"/>
      <c r="E96" s="146">
        <v>2</v>
      </c>
      <c r="F96" s="146" t="s">
        <v>3424</v>
      </c>
      <c r="H96" s="146">
        <v>55</v>
      </c>
      <c r="J96" s="587">
        <v>0.5</v>
      </c>
      <c r="L96" s="587">
        <v>1.93</v>
      </c>
      <c r="N96" s="587">
        <v>0.35</v>
      </c>
      <c r="T96" s="597">
        <v>40</v>
      </c>
      <c r="U96" s="146">
        <v>10</v>
      </c>
      <c r="V96" s="146">
        <v>14</v>
      </c>
      <c r="X96" s="146">
        <v>14</v>
      </c>
      <c r="Y96" s="595">
        <v>8.6</v>
      </c>
      <c r="Z96" s="146">
        <v>1</v>
      </c>
      <c r="AA96" s="146">
        <v>6</v>
      </c>
      <c r="AD96" s="576"/>
      <c r="AE96" s="146"/>
      <c r="AI96" s="576" t="s">
        <v>3311</v>
      </c>
      <c r="AJ96" s="597" t="s">
        <v>3311</v>
      </c>
      <c r="AK96" s="146"/>
      <c r="AN96" s="146">
        <v>451</v>
      </c>
      <c r="AO96" s="146" t="s">
        <v>4696</v>
      </c>
    </row>
    <row r="97" spans="2:41" x14ac:dyDescent="0.2">
      <c r="B97" s="146"/>
      <c r="E97" s="146">
        <v>3</v>
      </c>
      <c r="F97" s="146" t="s">
        <v>3425</v>
      </c>
      <c r="H97" s="146">
        <v>100</v>
      </c>
      <c r="J97" s="587">
        <v>0.64</v>
      </c>
      <c r="L97" s="587">
        <v>2.41</v>
      </c>
      <c r="N97" s="587">
        <v>0.4</v>
      </c>
      <c r="T97" s="597">
        <v>55</v>
      </c>
      <c r="U97" s="146">
        <v>10</v>
      </c>
      <c r="V97" s="146">
        <v>18</v>
      </c>
      <c r="X97" s="146">
        <v>18</v>
      </c>
      <c r="Y97" s="595">
        <v>11.4</v>
      </c>
      <c r="Z97" s="146">
        <v>1</v>
      </c>
      <c r="AA97" s="146">
        <v>9</v>
      </c>
      <c r="AD97" s="576"/>
      <c r="AE97" s="146"/>
      <c r="AI97" s="576" t="s">
        <v>3311</v>
      </c>
      <c r="AJ97" s="597" t="s">
        <v>3311</v>
      </c>
      <c r="AK97" s="146"/>
      <c r="AN97" s="146">
        <v>451</v>
      </c>
      <c r="AO97" s="146" t="s">
        <v>4696</v>
      </c>
    </row>
    <row r="98" spans="2:41" x14ac:dyDescent="0.2">
      <c r="B98" s="146"/>
      <c r="E98" s="146">
        <v>4</v>
      </c>
      <c r="F98" s="146" t="s">
        <v>3426</v>
      </c>
      <c r="H98" s="146">
        <v>190</v>
      </c>
      <c r="J98" s="587">
        <v>0.71</v>
      </c>
      <c r="L98" s="587">
        <v>2.89</v>
      </c>
      <c r="N98" s="587">
        <v>0.41</v>
      </c>
      <c r="T98" s="597">
        <v>80</v>
      </c>
      <c r="U98" s="146">
        <v>10</v>
      </c>
      <c r="V98" s="146">
        <v>24</v>
      </c>
      <c r="X98" s="146">
        <v>24</v>
      </c>
      <c r="Y98" s="595">
        <v>15</v>
      </c>
      <c r="Z98" s="146">
        <v>1</v>
      </c>
      <c r="AA98" s="146">
        <v>13</v>
      </c>
      <c r="AD98" s="576"/>
      <c r="AE98" s="146"/>
      <c r="AI98" s="576" t="s">
        <v>3311</v>
      </c>
      <c r="AJ98" s="597" t="s">
        <v>3311</v>
      </c>
      <c r="AK98" s="146"/>
      <c r="AN98" s="146">
        <v>451</v>
      </c>
      <c r="AO98" s="146" t="s">
        <v>4696</v>
      </c>
    </row>
    <row r="99" spans="2:41" x14ac:dyDescent="0.2">
      <c r="B99" s="146"/>
      <c r="E99" s="146">
        <v>5</v>
      </c>
      <c r="F99" s="146" t="s">
        <v>3427</v>
      </c>
      <c r="H99" s="146">
        <v>245</v>
      </c>
      <c r="J99" s="587">
        <v>0.8</v>
      </c>
      <c r="L99" s="587">
        <v>3.13</v>
      </c>
      <c r="N99" s="587">
        <v>0.45</v>
      </c>
      <c r="T99" s="597">
        <v>90</v>
      </c>
      <c r="U99" s="146">
        <v>10</v>
      </c>
      <c r="V99" s="146">
        <v>27</v>
      </c>
      <c r="X99" s="146">
        <v>27</v>
      </c>
      <c r="Y99" s="595">
        <v>17</v>
      </c>
      <c r="Z99" s="146">
        <v>1</v>
      </c>
      <c r="AA99" s="146">
        <v>14</v>
      </c>
      <c r="AD99" s="576"/>
      <c r="AE99" s="146"/>
      <c r="AI99" s="576" t="s">
        <v>3311</v>
      </c>
      <c r="AJ99" s="597" t="s">
        <v>3311</v>
      </c>
      <c r="AK99" s="146"/>
      <c r="AN99" s="146">
        <v>451</v>
      </c>
      <c r="AO99" s="146" t="s">
        <v>4696</v>
      </c>
    </row>
    <row r="100" spans="2:41" x14ac:dyDescent="0.2">
      <c r="B100" s="146"/>
      <c r="E100" s="146">
        <v>6</v>
      </c>
      <c r="F100" s="146" t="s">
        <v>3428</v>
      </c>
      <c r="H100" s="146">
        <v>310</v>
      </c>
      <c r="J100" s="587">
        <v>0.85</v>
      </c>
      <c r="L100" s="587">
        <v>3.25</v>
      </c>
      <c r="N100" s="587">
        <v>0.45</v>
      </c>
      <c r="T100" s="597">
        <v>110</v>
      </c>
      <c r="U100" s="146">
        <v>10</v>
      </c>
      <c r="V100" s="146">
        <v>28</v>
      </c>
      <c r="X100" s="146">
        <v>28</v>
      </c>
      <c r="Y100" s="595">
        <v>17.5</v>
      </c>
      <c r="Z100" s="146">
        <v>1</v>
      </c>
      <c r="AA100" s="146">
        <v>18</v>
      </c>
      <c r="AD100" s="576"/>
      <c r="AE100" s="146"/>
      <c r="AI100" s="576" t="s">
        <v>3311</v>
      </c>
      <c r="AJ100" s="597" t="s">
        <v>3311</v>
      </c>
      <c r="AK100" s="146"/>
      <c r="AN100" s="146">
        <v>451</v>
      </c>
      <c r="AO100" s="146" t="s">
        <v>4696</v>
      </c>
    </row>
    <row r="101" spans="2:41" x14ac:dyDescent="0.2">
      <c r="B101" s="146"/>
      <c r="E101" s="146">
        <v>7</v>
      </c>
      <c r="F101" s="146" t="s">
        <v>3429</v>
      </c>
      <c r="H101" s="146">
        <v>350</v>
      </c>
      <c r="J101" s="587">
        <v>0.89</v>
      </c>
      <c r="L101" s="587">
        <v>3.37</v>
      </c>
      <c r="N101" s="587">
        <v>0.45</v>
      </c>
      <c r="T101" s="597">
        <v>120</v>
      </c>
      <c r="U101" s="146">
        <v>10</v>
      </c>
      <c r="V101" s="146">
        <v>29</v>
      </c>
      <c r="X101" s="146">
        <v>29</v>
      </c>
      <c r="Y101" s="595">
        <v>18.2</v>
      </c>
      <c r="Z101" s="146">
        <v>1</v>
      </c>
      <c r="AA101" s="146">
        <v>19</v>
      </c>
      <c r="AD101" s="576"/>
      <c r="AE101" s="146"/>
      <c r="AI101" s="576" t="s">
        <v>3311</v>
      </c>
      <c r="AJ101" s="597" t="s">
        <v>3311</v>
      </c>
      <c r="AK101" s="146"/>
      <c r="AN101" s="146">
        <v>451</v>
      </c>
      <c r="AO101" s="146" t="s">
        <v>4696</v>
      </c>
    </row>
    <row r="102" spans="2:41" x14ac:dyDescent="0.2">
      <c r="B102" s="146"/>
      <c r="E102" s="146">
        <v>8</v>
      </c>
      <c r="F102" s="146" t="s">
        <v>3430</v>
      </c>
      <c r="H102" s="146">
        <v>130</v>
      </c>
      <c r="J102" s="587">
        <v>0</v>
      </c>
      <c r="L102" s="587">
        <v>0</v>
      </c>
      <c r="N102" s="587">
        <v>0</v>
      </c>
      <c r="T102" s="597">
        <v>90</v>
      </c>
      <c r="U102" s="146">
        <v>10</v>
      </c>
      <c r="V102" s="146">
        <v>15</v>
      </c>
      <c r="X102" s="146">
        <v>15</v>
      </c>
      <c r="Y102" s="595">
        <v>18</v>
      </c>
      <c r="Z102" s="146">
        <v>1</v>
      </c>
      <c r="AA102" s="146">
        <v>8</v>
      </c>
      <c r="AD102" s="576"/>
      <c r="AE102" s="146"/>
      <c r="AI102" s="576" t="s">
        <v>3311</v>
      </c>
      <c r="AJ102" s="597" t="s">
        <v>3311</v>
      </c>
      <c r="AK102" s="146"/>
      <c r="AN102" s="146">
        <v>453</v>
      </c>
      <c r="AO102" s="146" t="s">
        <v>2404</v>
      </c>
    </row>
    <row r="103" spans="2:41" x14ac:dyDescent="0.2">
      <c r="B103" s="146"/>
      <c r="E103" s="146">
        <v>9</v>
      </c>
      <c r="F103" s="146" t="s">
        <v>3431</v>
      </c>
      <c r="H103" s="146">
        <v>190</v>
      </c>
      <c r="J103" s="587">
        <v>0.30400000000000005</v>
      </c>
      <c r="L103" s="587">
        <v>1.204</v>
      </c>
      <c r="N103" s="587">
        <v>0.16400000000000001</v>
      </c>
      <c r="T103" s="597">
        <v>94</v>
      </c>
      <c r="U103" s="146">
        <v>10</v>
      </c>
      <c r="V103" s="146">
        <v>20</v>
      </c>
      <c r="X103" s="146">
        <v>20</v>
      </c>
      <c r="Y103" s="595">
        <v>17.600000000000001</v>
      </c>
      <c r="Z103" s="146">
        <v>1</v>
      </c>
      <c r="AA103" s="146">
        <v>11</v>
      </c>
      <c r="AD103" s="576"/>
      <c r="AE103" s="146"/>
      <c r="AI103" s="576" t="s">
        <v>3311</v>
      </c>
      <c r="AJ103" s="597" t="s">
        <v>3311</v>
      </c>
      <c r="AK103" s="146"/>
      <c r="AN103" s="146">
        <v>452</v>
      </c>
      <c r="AO103" s="146" t="s">
        <v>4695</v>
      </c>
    </row>
    <row r="104" spans="2:41" x14ac:dyDescent="0.2">
      <c r="B104" s="146"/>
      <c r="E104" s="146">
        <v>10</v>
      </c>
      <c r="F104" s="146" t="s">
        <v>3432</v>
      </c>
      <c r="H104" s="146">
        <v>245</v>
      </c>
      <c r="J104" s="587">
        <v>0.6080000000000001</v>
      </c>
      <c r="L104" s="587">
        <v>2.4079999999999999</v>
      </c>
      <c r="N104" s="587">
        <v>0.32800000000000001</v>
      </c>
      <c r="T104" s="597">
        <v>98</v>
      </c>
      <c r="U104" s="146">
        <v>10</v>
      </c>
      <c r="V104" s="146">
        <v>25</v>
      </c>
      <c r="X104" s="146">
        <v>25</v>
      </c>
      <c r="Y104" s="595">
        <v>17.2</v>
      </c>
      <c r="Z104" s="146">
        <v>1</v>
      </c>
      <c r="AA104" s="146">
        <v>14</v>
      </c>
      <c r="AD104" s="576"/>
      <c r="AE104" s="146"/>
      <c r="AI104" s="576" t="s">
        <v>3311</v>
      </c>
      <c r="AJ104" s="597" t="s">
        <v>3311</v>
      </c>
      <c r="AK104" s="146"/>
      <c r="AN104" s="146">
        <v>452</v>
      </c>
      <c r="AO104" s="146" t="s">
        <v>4695</v>
      </c>
    </row>
    <row r="105" spans="2:41" x14ac:dyDescent="0.2">
      <c r="B105" s="146"/>
      <c r="E105" s="146">
        <v>11</v>
      </c>
      <c r="F105" s="146" t="s">
        <v>3433</v>
      </c>
      <c r="H105" s="146">
        <v>65</v>
      </c>
      <c r="J105" s="587">
        <v>0</v>
      </c>
      <c r="L105" s="587">
        <v>0</v>
      </c>
      <c r="N105" s="587">
        <v>0</v>
      </c>
      <c r="T105" s="597">
        <v>65</v>
      </c>
      <c r="U105" s="146">
        <v>10</v>
      </c>
      <c r="V105" s="146">
        <v>10</v>
      </c>
      <c r="X105" s="146">
        <v>10</v>
      </c>
      <c r="Y105" s="595">
        <v>12.5</v>
      </c>
      <c r="Z105" s="146">
        <v>1</v>
      </c>
      <c r="AA105" s="146">
        <v>5</v>
      </c>
      <c r="AD105" s="576"/>
      <c r="AE105" s="146"/>
      <c r="AI105" s="576" t="s">
        <v>3311</v>
      </c>
      <c r="AJ105" s="597" t="s">
        <v>3311</v>
      </c>
      <c r="AK105" s="146"/>
      <c r="AN105" s="146">
        <v>453</v>
      </c>
      <c r="AO105" s="146" t="s">
        <v>2404</v>
      </c>
    </row>
    <row r="106" spans="2:41" x14ac:dyDescent="0.2">
      <c r="B106" s="146"/>
      <c r="E106" s="146">
        <v>12</v>
      </c>
      <c r="F106" s="146" t="s">
        <v>3434</v>
      </c>
      <c r="H106" s="146">
        <v>400</v>
      </c>
      <c r="J106" s="587">
        <v>0.82</v>
      </c>
      <c r="L106" s="587">
        <v>3.61</v>
      </c>
      <c r="N106" s="587">
        <v>0.41</v>
      </c>
      <c r="T106" s="597">
        <v>150</v>
      </c>
      <c r="U106" s="146">
        <v>10</v>
      </c>
      <c r="V106" s="146">
        <v>27</v>
      </c>
      <c r="X106" s="146">
        <v>27</v>
      </c>
      <c r="Y106" s="595">
        <v>16.600000000000001</v>
      </c>
      <c r="Z106" s="146">
        <v>1</v>
      </c>
      <c r="AA106" s="146">
        <v>24</v>
      </c>
      <c r="AD106" s="576"/>
      <c r="AE106" s="146"/>
      <c r="AI106" s="576" t="s">
        <v>3311</v>
      </c>
      <c r="AJ106" s="597" t="s">
        <v>3317</v>
      </c>
      <c r="AK106" s="146"/>
      <c r="AN106" s="146">
        <v>424</v>
      </c>
      <c r="AO106" s="146" t="s">
        <v>4694</v>
      </c>
    </row>
    <row r="107" spans="2:41" x14ac:dyDescent="0.2">
      <c r="B107" s="146"/>
      <c r="E107" s="146">
        <v>13</v>
      </c>
      <c r="F107" s="146" t="s">
        <v>3435</v>
      </c>
      <c r="H107" s="146">
        <v>310</v>
      </c>
      <c r="J107" s="587">
        <v>0.8</v>
      </c>
      <c r="L107" s="587">
        <v>3.25</v>
      </c>
      <c r="N107" s="587">
        <v>0.41</v>
      </c>
      <c r="T107" s="597">
        <v>120</v>
      </c>
      <c r="U107" s="146">
        <v>10</v>
      </c>
      <c r="V107" s="146">
        <v>26</v>
      </c>
      <c r="X107" s="146">
        <v>26</v>
      </c>
      <c r="Y107" s="595">
        <v>16.2</v>
      </c>
      <c r="Z107" s="146">
        <v>1</v>
      </c>
      <c r="AA107" s="146">
        <v>19</v>
      </c>
      <c r="AD107" s="576"/>
      <c r="AE107" s="146"/>
      <c r="AI107" s="576" t="s">
        <v>3311</v>
      </c>
      <c r="AJ107" s="597" t="s">
        <v>3317</v>
      </c>
      <c r="AK107" s="146"/>
      <c r="AN107" s="146">
        <v>424</v>
      </c>
      <c r="AO107" s="146" t="s">
        <v>4694</v>
      </c>
    </row>
    <row r="108" spans="2:41" x14ac:dyDescent="0.2">
      <c r="B108" s="146"/>
      <c r="E108" s="146">
        <v>14</v>
      </c>
      <c r="F108" s="146" t="s">
        <v>3436</v>
      </c>
      <c r="H108" s="146">
        <v>350</v>
      </c>
      <c r="J108" s="587">
        <v>0.73</v>
      </c>
      <c r="L108" s="587">
        <v>3.49</v>
      </c>
      <c r="N108" s="587">
        <v>0.41</v>
      </c>
      <c r="T108" s="597">
        <v>120</v>
      </c>
      <c r="U108" s="146">
        <v>10</v>
      </c>
      <c r="V108" s="146">
        <v>29</v>
      </c>
      <c r="X108" s="146">
        <v>29</v>
      </c>
      <c r="Y108" s="595">
        <v>18.2</v>
      </c>
      <c r="Z108" s="146">
        <v>1</v>
      </c>
      <c r="AA108" s="146">
        <v>19</v>
      </c>
      <c r="AD108" s="576"/>
      <c r="AE108" s="146"/>
      <c r="AI108" s="576" t="s">
        <v>3311</v>
      </c>
      <c r="AJ108" s="597" t="s">
        <v>3317</v>
      </c>
      <c r="AK108" s="146"/>
      <c r="AN108" s="593" t="s">
        <v>4697</v>
      </c>
      <c r="AO108" s="146" t="s">
        <v>4698</v>
      </c>
    </row>
    <row r="109" spans="2:41" x14ac:dyDescent="0.2">
      <c r="B109" s="146"/>
      <c r="E109" s="146">
        <v>15</v>
      </c>
      <c r="F109" s="146" t="s">
        <v>3318</v>
      </c>
      <c r="H109" s="146">
        <v>360</v>
      </c>
      <c r="J109" s="587">
        <v>0.73</v>
      </c>
      <c r="L109" s="587">
        <v>3.25</v>
      </c>
      <c r="N109" s="587">
        <v>0.41</v>
      </c>
      <c r="T109" s="597">
        <v>110</v>
      </c>
      <c r="U109" s="146">
        <v>10</v>
      </c>
      <c r="Y109" s="595">
        <v>20.5</v>
      </c>
      <c r="Z109" s="146">
        <v>1</v>
      </c>
      <c r="AD109" s="576"/>
      <c r="AE109" s="146"/>
      <c r="AI109" s="576" t="s">
        <v>3311</v>
      </c>
      <c r="AJ109" s="597" t="s">
        <v>3317</v>
      </c>
      <c r="AK109" s="146"/>
      <c r="AN109" s="593" t="s">
        <v>4700</v>
      </c>
      <c r="AO109" s="146" t="s">
        <v>4699</v>
      </c>
    </row>
    <row r="110" spans="2:41" x14ac:dyDescent="0.2">
      <c r="B110" s="146"/>
      <c r="E110" s="146">
        <v>16</v>
      </c>
      <c r="F110" s="146" t="s">
        <v>3532</v>
      </c>
      <c r="H110" s="146">
        <v>199</v>
      </c>
      <c r="J110" s="146" t="s">
        <v>4547</v>
      </c>
      <c r="T110" s="597"/>
      <c r="U110" s="146"/>
      <c r="Y110" s="595"/>
      <c r="Z110" s="146"/>
      <c r="AD110" s="576"/>
      <c r="AE110" s="146"/>
      <c r="AI110" s="576" t="s">
        <v>3311</v>
      </c>
      <c r="AJ110" s="597" t="s">
        <v>3317</v>
      </c>
      <c r="AK110" s="146"/>
    </row>
    <row r="111" spans="2:41" x14ac:dyDescent="0.2">
      <c r="T111" s="576"/>
      <c r="U111" s="146"/>
      <c r="Y111" s="595"/>
      <c r="Z111" s="146"/>
      <c r="AD111" s="576"/>
      <c r="AE111" s="146"/>
      <c r="AI111" s="576"/>
      <c r="AJ111" s="597"/>
      <c r="AK111" s="146"/>
    </row>
    <row r="112" spans="2:41" s="569" customFormat="1" x14ac:dyDescent="0.2">
      <c r="C112" s="588"/>
      <c r="E112" s="616"/>
      <c r="F112" s="1483" t="s">
        <v>4474</v>
      </c>
      <c r="G112" s="589" t="s">
        <v>4363</v>
      </c>
      <c r="U112" s="588"/>
      <c r="Z112" s="613"/>
      <c r="AE112" s="588"/>
      <c r="AJ112" s="588"/>
      <c r="AK112" s="616"/>
    </row>
    <row r="113" spans="2:37" hidden="1" x14ac:dyDescent="0.2">
      <c r="B113" s="146"/>
    </row>
    <row r="114" spans="2:37" s="1572" customFormat="1" ht="15" hidden="1" x14ac:dyDescent="0.25">
      <c r="C114" s="1573"/>
      <c r="E114" s="1574" t="s">
        <v>4765</v>
      </c>
      <c r="G114" s="1573"/>
      <c r="U114" s="1573"/>
      <c r="Z114" s="1575"/>
      <c r="AE114" s="1573"/>
      <c r="AJ114" s="1573"/>
      <c r="AK114" s="1576"/>
    </row>
    <row r="115" spans="2:37" s="1577" customFormat="1" hidden="1" x14ac:dyDescent="0.2">
      <c r="C115" s="1578"/>
      <c r="G115" s="1578"/>
      <c r="U115" s="1578"/>
      <c r="Z115" s="1579"/>
      <c r="AE115" s="1578"/>
      <c r="AJ115" s="1578"/>
      <c r="AK115" s="1580"/>
    </row>
    <row r="116" spans="2:37" s="1577" customFormat="1" hidden="1" x14ac:dyDescent="0.2">
      <c r="C116" s="1578"/>
      <c r="E116" s="1577" t="s">
        <v>3488</v>
      </c>
      <c r="G116" s="1578"/>
      <c r="U116" s="1578"/>
      <c r="Z116" s="1579"/>
      <c r="AE116" s="1578"/>
      <c r="AJ116" s="1578"/>
      <c r="AK116" s="1580"/>
    </row>
    <row r="117" spans="2:37" s="1577" customFormat="1" hidden="1" x14ac:dyDescent="0.2">
      <c r="C117" s="1578"/>
      <c r="G117" s="1578"/>
      <c r="U117" s="1578"/>
      <c r="Z117" s="1579"/>
      <c r="AE117" s="1578"/>
      <c r="AJ117" s="1578"/>
      <c r="AK117" s="1580"/>
    </row>
    <row r="118" spans="2:37" s="1577" customFormat="1" hidden="1" x14ac:dyDescent="0.2">
      <c r="C118" s="1578"/>
      <c r="E118" s="1577">
        <v>1</v>
      </c>
      <c r="F118" s="1577" t="str">
        <f>VLOOKUP(GL_Eingabe!M21,E95:F110,F8,FALSE)</f>
        <v>auswählen !</v>
      </c>
      <c r="G118" s="1578"/>
      <c r="U118" s="1578"/>
      <c r="Z118" s="1579"/>
      <c r="AE118" s="1578"/>
      <c r="AJ118" s="1578"/>
      <c r="AK118" s="1580"/>
    </row>
    <row r="119" spans="2:37" s="1577" customFormat="1" hidden="1" x14ac:dyDescent="0.2">
      <c r="C119" s="1578"/>
      <c r="F119" s="1577" t="s">
        <v>4236</v>
      </c>
      <c r="G119" s="1578"/>
      <c r="H119" s="1581">
        <f>GL_Eingabe!M21</f>
        <v>1</v>
      </c>
      <c r="J119" s="1577" t="s">
        <v>4336</v>
      </c>
      <c r="U119" s="1578"/>
      <c r="Z119" s="1579"/>
      <c r="AE119" s="1578"/>
      <c r="AJ119" s="1578"/>
      <c r="AK119" s="1580"/>
    </row>
    <row r="120" spans="2:37" s="1577" customFormat="1" hidden="1" x14ac:dyDescent="0.2">
      <c r="C120" s="1578"/>
      <c r="E120" s="1577">
        <v>2</v>
      </c>
      <c r="F120" s="1577" t="s">
        <v>3517</v>
      </c>
      <c r="G120" s="1578"/>
      <c r="H120" s="1577">
        <f>VLOOKUP(GL_Eingabe!$M$21,$E$95:$T$110,$T$8,FALSE)</f>
        <v>0</v>
      </c>
      <c r="I120" s="1577" t="s">
        <v>3492</v>
      </c>
      <c r="U120" s="1578"/>
      <c r="Z120" s="1579"/>
      <c r="AE120" s="1578"/>
      <c r="AJ120" s="1578"/>
      <c r="AK120" s="1580"/>
    </row>
    <row r="121" spans="2:37" s="1577" customFormat="1" hidden="1" x14ac:dyDescent="0.2">
      <c r="C121" s="1578"/>
      <c r="F121" s="1577" t="s">
        <v>4340</v>
      </c>
      <c r="G121" s="1578"/>
      <c r="H121" s="1578" t="str">
        <f>IF(AND(GL_Eingabe!J29="",GL_Eingabe!J31=""),"Nein","Ja")</f>
        <v>Nein</v>
      </c>
      <c r="U121" s="1578"/>
      <c r="Z121" s="1579"/>
      <c r="AE121" s="1578"/>
      <c r="AJ121" s="1578"/>
      <c r="AK121" s="1580"/>
    </row>
    <row r="122" spans="2:37" s="1577" customFormat="1" ht="16.5" hidden="1" x14ac:dyDescent="0.3">
      <c r="C122" s="1578"/>
      <c r="E122" s="1577">
        <v>3</v>
      </c>
      <c r="F122" s="1582" t="s">
        <v>4492</v>
      </c>
      <c r="G122" s="1578"/>
      <c r="H122" s="1583">
        <f>IF(AND(GL_Eingabe!J29="",GL_Eingabe!J31=0),Kulturen!H120,IF(OR(GL_Eingabe!J29=0,GL_Eingabe!J29=""),GL_Eingabe!J31,GL_Eingabe!J29))</f>
        <v>0</v>
      </c>
      <c r="I122" s="1577" t="s">
        <v>3492</v>
      </c>
      <c r="K122" s="1584" t="s">
        <v>4493</v>
      </c>
      <c r="U122" s="1578"/>
      <c r="Z122" s="1579"/>
      <c r="AE122" s="1578"/>
      <c r="AJ122" s="1578"/>
      <c r="AK122" s="1580"/>
    </row>
    <row r="123" spans="2:37" s="1577" customFormat="1" hidden="1" x14ac:dyDescent="0.2">
      <c r="C123" s="1578"/>
      <c r="E123" s="1577">
        <v>4</v>
      </c>
      <c r="F123" s="1577" t="s">
        <v>3518</v>
      </c>
      <c r="G123" s="1578"/>
      <c r="H123" s="1583">
        <f>ABS(H120-H122)</f>
        <v>0</v>
      </c>
      <c r="I123" s="1577" t="s">
        <v>3492</v>
      </c>
      <c r="U123" s="1578"/>
      <c r="Z123" s="1579"/>
      <c r="AE123" s="1578"/>
      <c r="AJ123" s="1578"/>
      <c r="AK123" s="1580"/>
    </row>
    <row r="124" spans="2:37" s="1577" customFormat="1" hidden="1" x14ac:dyDescent="0.2">
      <c r="C124" s="1578"/>
      <c r="E124" s="1577">
        <v>5</v>
      </c>
      <c r="F124" s="1577" t="s">
        <v>3516</v>
      </c>
      <c r="G124" s="1578"/>
      <c r="H124" s="1577">
        <f>VLOOKUP(GL_Eingabe!$M$21,$E$95:$U$110,$U$8)</f>
        <v>0</v>
      </c>
      <c r="I124" s="1577" t="s">
        <v>3492</v>
      </c>
      <c r="U124" s="1578"/>
      <c r="Z124" s="1579"/>
      <c r="AE124" s="1578"/>
      <c r="AJ124" s="1578"/>
      <c r="AK124" s="1580"/>
    </row>
    <row r="125" spans="2:37" s="1577" customFormat="1" hidden="1" x14ac:dyDescent="0.2">
      <c r="C125" s="1578"/>
      <c r="E125" s="1577">
        <v>6</v>
      </c>
      <c r="F125" s="1585" t="s">
        <v>3521</v>
      </c>
      <c r="G125" s="1578"/>
      <c r="H125" s="1583" t="e">
        <f>H123/H124</f>
        <v>#DIV/0!</v>
      </c>
      <c r="U125" s="1578"/>
      <c r="Z125" s="1579"/>
      <c r="AE125" s="1578"/>
      <c r="AJ125" s="1578"/>
      <c r="AK125" s="1580"/>
    </row>
    <row r="126" spans="2:37" s="1577" customFormat="1" hidden="1" x14ac:dyDescent="0.2">
      <c r="C126" s="1578"/>
      <c r="E126" s="1577">
        <v>7</v>
      </c>
      <c r="F126" s="1577" t="s">
        <v>3519</v>
      </c>
      <c r="G126" s="1578"/>
      <c r="H126" s="1577" t="e">
        <f>ROUNDDOWN(H125,0)</f>
        <v>#DIV/0!</v>
      </c>
      <c r="U126" s="1578"/>
      <c r="Z126" s="1579"/>
      <c r="AE126" s="1578"/>
      <c r="AJ126" s="1578"/>
      <c r="AK126" s="1580"/>
    </row>
    <row r="127" spans="2:37" s="1577" customFormat="1" hidden="1" x14ac:dyDescent="0.2">
      <c r="C127" s="1578"/>
      <c r="E127" s="1577">
        <v>8</v>
      </c>
      <c r="F127" s="1577" t="s">
        <v>3524</v>
      </c>
      <c r="G127" s="1578"/>
      <c r="H127" s="1577">
        <f>VLOOKUP(GL_Eingabe!$M$21,$E$95:$V$110,$V$8,FALSE)</f>
        <v>0</v>
      </c>
      <c r="I127" s="1577" t="s">
        <v>3309</v>
      </c>
      <c r="U127" s="1578"/>
      <c r="Z127" s="1579"/>
      <c r="AE127" s="1578"/>
      <c r="AJ127" s="1578"/>
      <c r="AK127" s="1580"/>
    </row>
    <row r="128" spans="2:37" s="1577" customFormat="1" hidden="1" x14ac:dyDescent="0.2">
      <c r="C128" s="1578"/>
      <c r="E128" s="1577">
        <v>9</v>
      </c>
      <c r="F128" s="1577" t="s">
        <v>3525</v>
      </c>
      <c r="G128" s="1578"/>
      <c r="H128" s="1577">
        <f>VLOOKUP(GL_Eingabe!M21,E95:X110,$X$8,FALSE)</f>
        <v>0</v>
      </c>
      <c r="I128" s="1577" t="s">
        <v>3309</v>
      </c>
      <c r="U128" s="1578"/>
      <c r="Z128" s="1579"/>
      <c r="AE128" s="1578"/>
      <c r="AJ128" s="1578"/>
      <c r="AK128" s="1580"/>
    </row>
    <row r="129" spans="3:37" s="1577" customFormat="1" hidden="1" x14ac:dyDescent="0.2">
      <c r="C129" s="1578"/>
      <c r="G129" s="1578"/>
      <c r="U129" s="1578"/>
      <c r="Z129" s="1579"/>
      <c r="AE129" s="1578"/>
      <c r="AJ129" s="1578"/>
      <c r="AK129" s="1580"/>
    </row>
    <row r="130" spans="3:37" s="1577" customFormat="1" hidden="1" x14ac:dyDescent="0.2">
      <c r="C130" s="1578"/>
      <c r="G130" s="1578"/>
      <c r="U130" s="1578"/>
      <c r="Z130" s="1579"/>
      <c r="AE130" s="1578"/>
      <c r="AJ130" s="1578"/>
      <c r="AK130" s="1580"/>
    </row>
    <row r="131" spans="3:37" s="1577" customFormat="1" hidden="1" x14ac:dyDescent="0.2">
      <c r="C131" s="1578"/>
      <c r="G131" s="1578"/>
      <c r="U131" s="1578"/>
      <c r="Z131" s="1579"/>
      <c r="AE131" s="1578"/>
      <c r="AJ131" s="1578"/>
      <c r="AK131" s="1580"/>
    </row>
    <row r="132" spans="3:37" s="1577" customFormat="1" hidden="1" x14ac:dyDescent="0.2">
      <c r="C132" s="1578"/>
      <c r="E132" s="1577">
        <v>10</v>
      </c>
      <c r="F132" s="1577" t="s">
        <v>3491</v>
      </c>
      <c r="G132" s="1578"/>
      <c r="H132" s="1577">
        <v>0</v>
      </c>
      <c r="K132" s="1584" t="s">
        <v>3522</v>
      </c>
      <c r="U132" s="1578"/>
      <c r="Z132" s="1579"/>
      <c r="AE132" s="1578"/>
      <c r="AJ132" s="1578"/>
      <c r="AK132" s="1580"/>
    </row>
    <row r="133" spans="3:37" s="1577" customFormat="1" hidden="1" x14ac:dyDescent="0.2">
      <c r="C133" s="1578"/>
      <c r="G133" s="1578"/>
      <c r="U133" s="1578"/>
      <c r="Z133" s="1579"/>
      <c r="AE133" s="1578"/>
      <c r="AJ133" s="1578"/>
      <c r="AK133" s="1580"/>
    </row>
    <row r="134" spans="3:37" s="1577" customFormat="1" hidden="1" x14ac:dyDescent="0.2">
      <c r="C134" s="1578"/>
      <c r="E134" s="1577">
        <v>11</v>
      </c>
      <c r="F134" s="1577" t="s">
        <v>3514</v>
      </c>
      <c r="G134" s="1578"/>
      <c r="H134" s="1577">
        <f>IF(H122&gt;H120,IF(H126&gt;=1,H127*H126),0)</f>
        <v>0</v>
      </c>
      <c r="I134" s="1577" t="s">
        <v>3803</v>
      </c>
      <c r="U134" s="1578"/>
      <c r="Z134" s="1579"/>
      <c r="AD134" s="1586"/>
      <c r="AE134" s="1587"/>
      <c r="AJ134" s="1578"/>
      <c r="AK134" s="1580"/>
    </row>
    <row r="135" spans="3:37" s="1577" customFormat="1" hidden="1" x14ac:dyDescent="0.2">
      <c r="C135" s="1578"/>
      <c r="E135" s="1577">
        <v>12</v>
      </c>
      <c r="F135" s="1577" t="s">
        <v>3515</v>
      </c>
      <c r="G135" s="1578"/>
      <c r="H135" s="1577">
        <f>(IF(H122&lt;H120,IF(H126&gt;=1,H128*H126),0))*-1</f>
        <v>0</v>
      </c>
      <c r="I135" s="1577" t="s">
        <v>3803</v>
      </c>
      <c r="U135" s="1578"/>
      <c r="Z135" s="1579"/>
      <c r="AE135" s="1578"/>
      <c r="AJ135" s="1578"/>
      <c r="AK135" s="1580"/>
    </row>
    <row r="136" spans="3:37" s="1577" customFormat="1" hidden="1" x14ac:dyDescent="0.2">
      <c r="C136" s="1578"/>
      <c r="E136" s="1577">
        <v>13</v>
      </c>
      <c r="F136" s="1577" t="s">
        <v>3520</v>
      </c>
      <c r="G136" s="1578"/>
      <c r="H136" s="1588">
        <f>SUM(H134:H135)</f>
        <v>0</v>
      </c>
      <c r="I136" s="1577" t="str">
        <f>IF(H134&gt;0,I134,I135)</f>
        <v>(Ertragskorrektur)</v>
      </c>
      <c r="U136" s="1578"/>
      <c r="Z136" s="1579"/>
      <c r="AE136" s="1578"/>
      <c r="AJ136" s="1578"/>
      <c r="AK136" s="1580"/>
    </row>
    <row r="137" spans="3:37" s="1577" customFormat="1" hidden="1" x14ac:dyDescent="0.2">
      <c r="C137" s="1578"/>
      <c r="G137" s="1578"/>
      <c r="U137" s="1578"/>
      <c r="Z137" s="1579"/>
      <c r="AE137" s="1578"/>
      <c r="AJ137" s="1578"/>
      <c r="AK137" s="1580"/>
    </row>
    <row r="138" spans="3:37" s="1577" customFormat="1" hidden="1" x14ac:dyDescent="0.2">
      <c r="C138" s="1578"/>
      <c r="E138" s="1577">
        <v>14</v>
      </c>
      <c r="F138" s="1577" t="s">
        <v>3493</v>
      </c>
      <c r="G138" s="1578"/>
      <c r="H138" s="1577">
        <f>VLOOKUP(GL_Eingabe!$M$21,$E$95:$H$110,$H$8,FALSE)</f>
        <v>0</v>
      </c>
      <c r="I138" s="1577" t="s">
        <v>3309</v>
      </c>
      <c r="U138" s="1578"/>
      <c r="Z138" s="1579"/>
      <c r="AE138" s="1578"/>
      <c r="AJ138" s="1578"/>
      <c r="AK138" s="1580"/>
    </row>
    <row r="139" spans="3:37" s="1577" customFormat="1" ht="15" hidden="1" x14ac:dyDescent="0.25">
      <c r="C139" s="1578"/>
      <c r="E139" s="1577">
        <v>15</v>
      </c>
      <c r="F139" s="1589" t="s">
        <v>3523</v>
      </c>
      <c r="G139" s="1578"/>
      <c r="H139" s="1589">
        <f>H138+H136</f>
        <v>0</v>
      </c>
      <c r="I139" s="1589" t="s">
        <v>3309</v>
      </c>
      <c r="U139" s="1578"/>
      <c r="Z139" s="1579"/>
      <c r="AE139" s="1578"/>
      <c r="AJ139" s="1578"/>
      <c r="AK139" s="1580"/>
    </row>
    <row r="140" spans="3:37" s="1577" customFormat="1" hidden="1" x14ac:dyDescent="0.2">
      <c r="C140" s="1578"/>
      <c r="G140" s="1578"/>
      <c r="U140" s="1578"/>
      <c r="Z140" s="1579"/>
      <c r="AE140" s="1578"/>
      <c r="AJ140" s="1578"/>
      <c r="AK140" s="1580"/>
    </row>
    <row r="141" spans="3:37" s="1577" customFormat="1" hidden="1" x14ac:dyDescent="0.2">
      <c r="C141" s="1578"/>
      <c r="G141" s="1578"/>
      <c r="U141" s="1578"/>
      <c r="Z141" s="1579"/>
      <c r="AE141" s="1578"/>
      <c r="AJ141" s="1578"/>
      <c r="AK141" s="1580"/>
    </row>
    <row r="142" spans="3:37" s="1577" customFormat="1" hidden="1" x14ac:dyDescent="0.2">
      <c r="C142" s="1578"/>
      <c r="E142" s="1577">
        <v>1</v>
      </c>
      <c r="F142" s="1577" t="s">
        <v>3526</v>
      </c>
      <c r="G142" s="1578"/>
      <c r="H142" s="1577">
        <f>VLOOKUP(GL_Eingabe!$M$21,$E$95:$Y$110,$Y$8,FALSE)</f>
        <v>0</v>
      </c>
      <c r="I142" s="1577" t="s">
        <v>3459</v>
      </c>
      <c r="U142" s="1578"/>
      <c r="Z142" s="1579"/>
      <c r="AE142" s="1578"/>
      <c r="AJ142" s="1578"/>
      <c r="AK142" s="1580"/>
    </row>
    <row r="143" spans="3:37" s="1577" customFormat="1" hidden="1" x14ac:dyDescent="0.2">
      <c r="C143" s="1578"/>
      <c r="E143" s="1577">
        <v>2</v>
      </c>
      <c r="F143" s="1577" t="s">
        <v>3527</v>
      </c>
      <c r="G143" s="1578"/>
      <c r="H143" s="1583">
        <f>IF(AND(GL_Eingabe!J37="",GL_Eingabe!J39=""),Kulturen!H142,IF(OR(GL_Eingabe!J37=0,GL_Eingabe!J37=""),GL_Eingabe!J39,GL_Eingabe!J37))</f>
        <v>0</v>
      </c>
      <c r="I143" s="1577" t="s">
        <v>3459</v>
      </c>
      <c r="K143" s="1584"/>
      <c r="O143" s="1590"/>
      <c r="U143" s="1578"/>
      <c r="Z143" s="1579"/>
      <c r="AE143" s="1578"/>
      <c r="AJ143" s="1578"/>
      <c r="AK143" s="1580"/>
    </row>
    <row r="144" spans="3:37" s="1577" customFormat="1" hidden="1" x14ac:dyDescent="0.2">
      <c r="C144" s="1578"/>
      <c r="E144" s="1577">
        <v>3</v>
      </c>
      <c r="F144" s="1577" t="s">
        <v>3528</v>
      </c>
      <c r="G144" s="1578"/>
      <c r="H144" s="1583">
        <f>ABS(H142-H143)</f>
        <v>0</v>
      </c>
      <c r="I144" s="1577" t="s">
        <v>3459</v>
      </c>
      <c r="U144" s="1578"/>
      <c r="V144" s="1591"/>
      <c r="Z144" s="1579"/>
      <c r="AE144" s="1578"/>
      <c r="AJ144" s="1578"/>
      <c r="AK144" s="1580"/>
    </row>
    <row r="145" spans="3:37" s="1577" customFormat="1" hidden="1" x14ac:dyDescent="0.2">
      <c r="C145" s="1578"/>
      <c r="E145" s="1577">
        <v>4</v>
      </c>
      <c r="F145" s="1577" t="s">
        <v>3529</v>
      </c>
      <c r="G145" s="1578"/>
      <c r="H145" s="1583">
        <f>VLOOKUP(GL_Eingabe!$M$21,$E$95:$Z$110,$Z$8)</f>
        <v>0</v>
      </c>
      <c r="I145" s="1577" t="s">
        <v>3459</v>
      </c>
      <c r="U145" s="1578"/>
      <c r="V145" s="1591"/>
      <c r="Z145" s="1579"/>
      <c r="AE145" s="1578"/>
      <c r="AJ145" s="1578"/>
      <c r="AK145" s="1580"/>
    </row>
    <row r="146" spans="3:37" s="1577" customFormat="1" hidden="1" x14ac:dyDescent="0.2">
      <c r="C146" s="1578"/>
      <c r="E146" s="1577">
        <v>5</v>
      </c>
      <c r="F146" s="1585" t="s">
        <v>3533</v>
      </c>
      <c r="G146" s="1578"/>
      <c r="H146" s="1583" t="e">
        <f>H144/H145</f>
        <v>#DIV/0!</v>
      </c>
      <c r="U146" s="1592"/>
      <c r="Z146" s="1579"/>
      <c r="AE146" s="1578"/>
      <c r="AJ146" s="1578"/>
      <c r="AK146" s="1580"/>
    </row>
    <row r="147" spans="3:37" s="1577" customFormat="1" hidden="1" x14ac:dyDescent="0.2">
      <c r="C147" s="1578"/>
      <c r="E147" s="1577">
        <v>6</v>
      </c>
      <c r="F147" s="1577" t="s">
        <v>3519</v>
      </c>
      <c r="G147" s="1578"/>
      <c r="H147" s="1577" t="e">
        <f>ROUNDDOWN(H146,0)</f>
        <v>#DIV/0!</v>
      </c>
      <c r="U147" s="1578"/>
      <c r="Z147" s="1579"/>
      <c r="AE147" s="1578"/>
      <c r="AJ147" s="1578"/>
      <c r="AK147" s="1580"/>
    </row>
    <row r="148" spans="3:37" s="1577" customFormat="1" hidden="1" x14ac:dyDescent="0.2">
      <c r="C148" s="1578"/>
      <c r="E148" s="1577">
        <v>7</v>
      </c>
      <c r="F148" s="1577" t="s">
        <v>3530</v>
      </c>
      <c r="G148" s="1578"/>
      <c r="H148" s="1577">
        <f>VLOOKUP(GL_Eingabe!$M$21,$E$95:$AA$110,$AA$8,FALSE)</f>
        <v>0</v>
      </c>
      <c r="I148" s="1577" t="s">
        <v>3309</v>
      </c>
      <c r="U148" s="1578"/>
      <c r="Z148" s="1579"/>
      <c r="AE148" s="1578"/>
      <c r="AJ148" s="1578"/>
      <c r="AK148" s="1580"/>
    </row>
    <row r="149" spans="3:37" s="1577" customFormat="1" hidden="1" x14ac:dyDescent="0.2">
      <c r="C149" s="1578"/>
      <c r="E149" s="1577">
        <v>8</v>
      </c>
      <c r="F149" s="1577" t="s">
        <v>3531</v>
      </c>
      <c r="G149" s="1578"/>
      <c r="H149" s="1577">
        <f>VLOOKUP(GL_Eingabe!$M$21,$E$95:$AA$110,$AA$8,FALSE)</f>
        <v>0</v>
      </c>
      <c r="I149" s="1577" t="s">
        <v>3309</v>
      </c>
      <c r="U149" s="1578"/>
      <c r="Z149" s="1579"/>
      <c r="AE149" s="1578"/>
      <c r="AJ149" s="1578"/>
      <c r="AK149" s="1580"/>
    </row>
    <row r="150" spans="3:37" s="1577" customFormat="1" hidden="1" x14ac:dyDescent="0.2">
      <c r="C150" s="1578"/>
      <c r="G150" s="1578"/>
      <c r="U150" s="1578"/>
      <c r="Z150" s="1579"/>
      <c r="AE150" s="1578"/>
      <c r="AJ150" s="1578"/>
      <c r="AK150" s="1580"/>
    </row>
    <row r="151" spans="3:37" s="1577" customFormat="1" hidden="1" x14ac:dyDescent="0.2">
      <c r="C151" s="1578"/>
      <c r="E151" s="1577">
        <v>10</v>
      </c>
      <c r="F151" s="1577" t="s">
        <v>3491</v>
      </c>
      <c r="G151" s="1578"/>
      <c r="H151" s="1577">
        <v>0</v>
      </c>
      <c r="K151" s="1584" t="s">
        <v>3522</v>
      </c>
      <c r="U151" s="1578"/>
      <c r="Z151" s="1579"/>
      <c r="AE151" s="1578"/>
      <c r="AJ151" s="1578"/>
      <c r="AK151" s="1580"/>
    </row>
    <row r="152" spans="3:37" s="1577" customFormat="1" hidden="1" x14ac:dyDescent="0.2">
      <c r="C152" s="1578"/>
      <c r="G152" s="1578"/>
      <c r="U152" s="1578"/>
      <c r="Z152" s="1579"/>
      <c r="AE152" s="1578"/>
      <c r="AJ152" s="1578"/>
      <c r="AK152" s="1580"/>
    </row>
    <row r="153" spans="3:37" s="1577" customFormat="1" hidden="1" x14ac:dyDescent="0.2">
      <c r="C153" s="1578"/>
      <c r="E153" s="1577">
        <v>11</v>
      </c>
      <c r="F153" s="1577" t="s">
        <v>3514</v>
      </c>
      <c r="G153" s="1578"/>
      <c r="H153" s="1588">
        <f>IF(H143&gt;H142,IF(H147&gt;=1,H148*H147),0)</f>
        <v>0</v>
      </c>
      <c r="I153" s="1577" t="s">
        <v>3804</v>
      </c>
      <c r="U153" s="1578"/>
      <c r="Z153" s="1579"/>
      <c r="AE153" s="1578"/>
      <c r="AJ153" s="1578"/>
      <c r="AK153" s="1580"/>
    </row>
    <row r="154" spans="3:37" s="1577" customFormat="1" hidden="1" x14ac:dyDescent="0.2">
      <c r="C154" s="1578"/>
      <c r="E154" s="1577">
        <v>12</v>
      </c>
      <c r="F154" s="1577" t="s">
        <v>3515</v>
      </c>
      <c r="G154" s="1578"/>
      <c r="H154" s="1577">
        <f>(IF(H143&lt;H142,IF(H147&gt;=1,H149*H147),0))*-1</f>
        <v>0</v>
      </c>
      <c r="I154" s="1577" t="s">
        <v>3804</v>
      </c>
      <c r="U154" s="1593"/>
      <c r="Z154" s="1579"/>
      <c r="AE154" s="1578"/>
      <c r="AJ154" s="1578"/>
      <c r="AK154" s="1580"/>
    </row>
    <row r="155" spans="3:37" s="1577" customFormat="1" hidden="1" x14ac:dyDescent="0.2">
      <c r="C155" s="1578"/>
      <c r="E155" s="1577">
        <v>13</v>
      </c>
      <c r="F155" s="1577" t="s">
        <v>3520</v>
      </c>
      <c r="G155" s="1578"/>
      <c r="H155" s="1588">
        <f>SUM(H153:H154)</f>
        <v>0</v>
      </c>
      <c r="I155" s="1577" t="str">
        <f>IF(H153&gt;0,I153,I154)</f>
        <v>(RP-Korrektur)</v>
      </c>
      <c r="U155" s="1578"/>
      <c r="Z155" s="1579"/>
      <c r="AE155" s="1578"/>
      <c r="AJ155" s="1578"/>
      <c r="AK155" s="1580"/>
    </row>
    <row r="156" spans="3:37" s="1577" customFormat="1" hidden="1" x14ac:dyDescent="0.2">
      <c r="C156" s="1578"/>
      <c r="G156" s="1578"/>
      <c r="U156" s="1578"/>
      <c r="Z156" s="1579"/>
      <c r="AE156" s="1578"/>
      <c r="AJ156" s="1578"/>
      <c r="AK156" s="1580"/>
    </row>
    <row r="157" spans="3:37" s="1577" customFormat="1" hidden="1" x14ac:dyDescent="0.2">
      <c r="C157" s="1578"/>
      <c r="E157" s="1577">
        <v>14</v>
      </c>
      <c r="F157" s="1594" t="s">
        <v>3523</v>
      </c>
      <c r="G157" s="1578"/>
      <c r="H157" s="1594">
        <f>H139</f>
        <v>0</v>
      </c>
      <c r="I157" s="1594" t="s">
        <v>3309</v>
      </c>
      <c r="U157" s="1578"/>
      <c r="Z157" s="1579"/>
      <c r="AE157" s="1578"/>
      <c r="AJ157" s="1578"/>
      <c r="AK157" s="1580"/>
    </row>
    <row r="158" spans="3:37" s="1577" customFormat="1" ht="39" hidden="1" x14ac:dyDescent="0.25">
      <c r="C158" s="1578"/>
      <c r="E158" s="1577">
        <v>15</v>
      </c>
      <c r="F158" s="1595" t="s">
        <v>3534</v>
      </c>
      <c r="G158" s="1578"/>
      <c r="H158" s="1589">
        <f>H157+H155</f>
        <v>0</v>
      </c>
      <c r="I158" s="1589" t="s">
        <v>3309</v>
      </c>
      <c r="U158" s="1578"/>
      <c r="Z158" s="1579"/>
      <c r="AE158" s="1578"/>
      <c r="AJ158" s="1578"/>
      <c r="AK158" s="1580"/>
    </row>
    <row r="159" spans="3:37" s="1577" customFormat="1" ht="15" hidden="1" x14ac:dyDescent="0.25">
      <c r="C159" s="1578"/>
      <c r="F159" s="1595"/>
      <c r="G159" s="1578"/>
      <c r="H159" s="1589"/>
      <c r="I159" s="1589"/>
      <c r="U159" s="1578"/>
      <c r="Z159" s="1579"/>
      <c r="AE159" s="1578"/>
      <c r="AJ159" s="1578"/>
      <c r="AK159" s="1580"/>
    </row>
    <row r="160" spans="3:37" s="1577" customFormat="1" ht="15" hidden="1" x14ac:dyDescent="0.25">
      <c r="C160" s="1578"/>
      <c r="F160" s="1596" t="s">
        <v>4288</v>
      </c>
      <c r="G160" s="1578"/>
      <c r="H160" s="1597">
        <f>Due_org!I90</f>
        <v>0</v>
      </c>
      <c r="I160" s="1589"/>
      <c r="J160" s="1577" t="s">
        <v>4309</v>
      </c>
      <c r="U160" s="1578"/>
      <c r="Z160" s="1579"/>
      <c r="AE160" s="1578"/>
      <c r="AJ160" s="1578"/>
      <c r="AK160" s="1580"/>
    </row>
    <row r="161" spans="3:37" s="1577" customFormat="1" hidden="1" x14ac:dyDescent="0.2">
      <c r="C161" s="1578"/>
      <c r="F161" s="1577" t="s">
        <v>4237</v>
      </c>
      <c r="G161" s="1578"/>
      <c r="H161" s="1577">
        <v>0</v>
      </c>
      <c r="I161" s="1577" t="s">
        <v>3703</v>
      </c>
      <c r="U161" s="1578"/>
      <c r="Z161" s="1579"/>
      <c r="AE161" s="1578"/>
      <c r="AJ161" s="1578"/>
      <c r="AK161" s="1580"/>
    </row>
    <row r="162" spans="3:37" s="1577" customFormat="1" hidden="1" x14ac:dyDescent="0.2">
      <c r="C162" s="1578"/>
      <c r="F162" s="1577" t="s">
        <v>4238</v>
      </c>
      <c r="G162" s="1578"/>
      <c r="H162" s="1583">
        <f>IF(AND(ISBLANK(GL_Eingabe!H52),GL_Eingabe!M52&gt;1),H161,H160)</f>
        <v>0</v>
      </c>
      <c r="I162" s="1577" t="s">
        <v>3703</v>
      </c>
      <c r="U162" s="1578"/>
      <c r="Z162" s="1579"/>
      <c r="AE162" s="1578"/>
      <c r="AJ162" s="1578"/>
      <c r="AK162" s="1580"/>
    </row>
    <row r="163" spans="3:37" s="1577" customFormat="1" hidden="1" x14ac:dyDescent="0.2">
      <c r="C163" s="1578"/>
      <c r="G163" s="1578"/>
      <c r="H163" s="1583"/>
      <c r="U163" s="1578"/>
      <c r="Z163" s="1579"/>
      <c r="AE163" s="1578"/>
      <c r="AJ163" s="1578"/>
      <c r="AK163" s="1580"/>
    </row>
    <row r="164" spans="3:37" s="1577" customFormat="1" ht="15" hidden="1" x14ac:dyDescent="0.25">
      <c r="C164" s="1578"/>
      <c r="F164" s="1596" t="s">
        <v>4289</v>
      </c>
      <c r="G164" s="1578"/>
      <c r="H164" s="1589">
        <f>Due_org!I105</f>
        <v>0</v>
      </c>
      <c r="I164" s="1589"/>
      <c r="J164" s="1577" t="s">
        <v>4309</v>
      </c>
      <c r="U164" s="1578"/>
      <c r="Z164" s="1579"/>
      <c r="AE164" s="1578"/>
      <c r="AJ164" s="1578"/>
      <c r="AK164" s="1580"/>
    </row>
    <row r="165" spans="3:37" s="1577" customFormat="1" hidden="1" x14ac:dyDescent="0.2">
      <c r="C165" s="1578"/>
      <c r="F165" s="1577" t="s">
        <v>4237</v>
      </c>
      <c r="G165" s="1578"/>
      <c r="H165" s="1577">
        <v>0</v>
      </c>
      <c r="I165" s="1577" t="s">
        <v>3703</v>
      </c>
      <c r="U165" s="1578"/>
      <c r="Z165" s="1579"/>
      <c r="AE165" s="1578"/>
      <c r="AJ165" s="1578"/>
      <c r="AK165" s="1580"/>
    </row>
    <row r="166" spans="3:37" s="1577" customFormat="1" hidden="1" x14ac:dyDescent="0.2">
      <c r="C166" s="1578"/>
      <c r="F166" s="1577" t="s">
        <v>4238</v>
      </c>
      <c r="G166" s="1578"/>
      <c r="H166" s="1583">
        <f>IF(AND(ISBLANK(GL_Eingabe!H54),GL_Eingabe!M54&gt;1),H165,H164)</f>
        <v>0</v>
      </c>
      <c r="I166" s="1577" t="s">
        <v>3703</v>
      </c>
      <c r="U166" s="1578"/>
      <c r="Z166" s="1579"/>
      <c r="AE166" s="1578"/>
      <c r="AJ166" s="1578"/>
      <c r="AK166" s="1580"/>
    </row>
    <row r="167" spans="3:37" s="1577" customFormat="1" hidden="1" x14ac:dyDescent="0.2">
      <c r="C167" s="1578"/>
      <c r="G167" s="1578"/>
      <c r="H167" s="1583"/>
      <c r="U167" s="1578"/>
      <c r="Z167" s="1579"/>
      <c r="AE167" s="1578"/>
      <c r="AJ167" s="1578"/>
      <c r="AK167" s="1580"/>
    </row>
    <row r="168" spans="3:37" s="1577" customFormat="1" ht="15" hidden="1" x14ac:dyDescent="0.25">
      <c r="C168" s="1578"/>
      <c r="F168" s="1589" t="s">
        <v>4361</v>
      </c>
      <c r="G168" s="1578"/>
      <c r="H168" s="1598">
        <f>IFERROR(GL_Ergebnis!J24+GL_Ergebnis!J26+GL_Ergebnis!J28+GL_Ergebnis!J30+GL_Ergebnis!J32,0)</f>
        <v>0</v>
      </c>
      <c r="I168" s="1589" t="s">
        <v>3309</v>
      </c>
      <c r="U168" s="1578"/>
      <c r="Z168" s="1579"/>
      <c r="AE168" s="1578"/>
      <c r="AJ168" s="1578"/>
      <c r="AK168" s="1580"/>
    </row>
    <row r="169" spans="3:37" s="1577" customFormat="1" hidden="1" x14ac:dyDescent="0.2">
      <c r="C169" s="1578"/>
      <c r="G169" s="1578"/>
      <c r="U169" s="1578"/>
      <c r="Z169" s="1579"/>
      <c r="AE169" s="1578"/>
      <c r="AJ169" s="1578"/>
      <c r="AK169" s="1580"/>
    </row>
    <row r="170" spans="3:37" s="1577" customFormat="1" ht="15" hidden="1" x14ac:dyDescent="0.25">
      <c r="C170" s="1578"/>
      <c r="F170" s="1599" t="s">
        <v>4244</v>
      </c>
      <c r="G170" s="1578" t="s">
        <v>4159</v>
      </c>
      <c r="H170" s="1589">
        <v>5</v>
      </c>
      <c r="I170" s="1589" t="s">
        <v>4160</v>
      </c>
      <c r="L170" s="1584" t="s">
        <v>4163</v>
      </c>
      <c r="U170" s="1578"/>
      <c r="Z170" s="1579"/>
      <c r="AE170" s="1578"/>
      <c r="AJ170" s="1578"/>
      <c r="AK170" s="1580"/>
    </row>
    <row r="171" spans="3:37" s="1577" customFormat="1" ht="15" hidden="1" x14ac:dyDescent="0.25">
      <c r="C171" s="1578"/>
      <c r="F171" s="1589"/>
      <c r="G171" s="1578"/>
      <c r="U171" s="1578"/>
      <c r="Z171" s="1579"/>
      <c r="AE171" s="1578"/>
      <c r="AJ171" s="1578"/>
      <c r="AK171" s="1580"/>
    </row>
    <row r="172" spans="3:37" s="1577" customFormat="1" hidden="1" x14ac:dyDescent="0.2">
      <c r="C172" s="1578"/>
      <c r="F172" s="1577" t="s">
        <v>13</v>
      </c>
      <c r="G172" s="1578"/>
      <c r="H172" s="1600">
        <f>$H$119</f>
        <v>1</v>
      </c>
      <c r="I172" s="1601">
        <f>IF(H172&gt;1,1,0)</f>
        <v>0</v>
      </c>
      <c r="J172" s="1577" t="s">
        <v>4156</v>
      </c>
      <c r="U172" s="1578"/>
      <c r="Z172" s="1579"/>
      <c r="AE172" s="1578"/>
      <c r="AJ172" s="1578"/>
      <c r="AK172" s="1580"/>
    </row>
    <row r="173" spans="3:37" s="1577" customFormat="1" hidden="1" x14ac:dyDescent="0.2">
      <c r="C173" s="1578"/>
      <c r="F173" s="1577" t="s">
        <v>4239</v>
      </c>
      <c r="G173" s="1578"/>
      <c r="H173" s="1583">
        <f>GL_Eingabe!$M$22</f>
        <v>1</v>
      </c>
      <c r="I173" s="1601">
        <f>Nachlieferung_Leg!K45</f>
        <v>0</v>
      </c>
      <c r="J173" s="1577" t="s">
        <v>4549</v>
      </c>
      <c r="U173" s="1578"/>
      <c r="Z173" s="1579"/>
      <c r="AE173" s="1578"/>
      <c r="AJ173" s="1578"/>
      <c r="AK173" s="1580"/>
    </row>
    <row r="174" spans="3:37" s="1577" customFormat="1" hidden="1" x14ac:dyDescent="0.2">
      <c r="C174" s="1578"/>
      <c r="F174" s="1577" t="s">
        <v>4240</v>
      </c>
      <c r="G174" s="1578"/>
      <c r="H174" s="1583">
        <f>$H$122</f>
        <v>0</v>
      </c>
      <c r="I174" s="1601">
        <f>IF(H121="Nein",0,IF(H174&gt;0,1,0))</f>
        <v>0</v>
      </c>
      <c r="J174" s="1577" t="s">
        <v>4243</v>
      </c>
      <c r="U174" s="1578"/>
      <c r="Z174" s="1579"/>
      <c r="AE174" s="1578"/>
      <c r="AJ174" s="1578"/>
      <c r="AK174" s="1580"/>
    </row>
    <row r="175" spans="3:37" s="1577" customFormat="1" hidden="1" x14ac:dyDescent="0.2">
      <c r="C175" s="1578"/>
      <c r="F175" s="1577" t="s">
        <v>4241</v>
      </c>
      <c r="G175" s="1578"/>
      <c r="H175" s="1577">
        <f>GL_Eingabe!$H$52</f>
        <v>0</v>
      </c>
      <c r="I175" s="1709">
        <f>IF(OR(AND(GL_Eingabe!H52&gt;0,GL_Eingabe!M52&gt;1),AND(GL_Eingabe!M52=1,GL_Eingabe!H52=0)),IF(OR(AND(GL_Eingabe!M52=16,AND(GL_Eingabe!J52=0,Due_org!R27="Daten unvollständig")),AND(GL_Eingabe!M52=17,AND(GL_Eingabe!J52=0,Due_org!R28="Daten unvollständig")),AND(GL_Eingabe!M52=38,AND(GL_Eingabe!J52=0,Due_org!R49="Daten unvollständig")),AND(GL_Eingabe!M52=39,AND(GL_Eingabe!J52=0,Due_org!R50="Daten unvollständig")),AND(GL_Eingabe!M52=40,AND(GL_Eingabe!J52=0,Due_org!R51="Daten unvollständig")),AND(GL_Eingabe!M52=41,AND(GL_Eingabe!J52=0,Due_org!R52="Daten unvollständig")),AND(GL_Eingabe!M52=42,AND(GL_Eingabe!J52=0,Due_org!R53="Daten unvollständig")),AND(GL_Eingabe!M52=57,AND(GL_Eingabe!J52=0,Due_org!R68="Daten unvollständig")),AND(GL_Eingabe!M52=59,AND(GL_Eingabe!J52=0,Due_org!R69="Daten unvollständig")),AND(GL_Eingabe!M54=16,AND(GL_Eingabe!J54=0,Due_org!R27="Daten unvollständig")),AND(GL_Eingabe!M54=17,AND(GL_Eingabe!J54=0,Due_org!R28="Daten unvollständig")),AND(GL_Eingabe!M54=38,AND(GL_Eingabe!J54=0,Due_org!R49="Daten unvollständig")),AND(GL_Eingabe!M54=39,AND(GL_Eingabe!J54=0,Due_org!R50="Daten unvollständig")),AND(GL_Eingabe!M54=40,AND(GL_Eingabe!J54=0,Due_org!R51="Daten unvollständig")),AND(GL_Eingabe!M54=41,AND(GL_Eingabe!J54=0,Due_org!R52="Daten unvollständig")),AND(GL_Eingabe!M54=42,AND(GL_Eingabe!J54=0,Due_org!R53="Daten unvollständig")),AND(GL_Eingabe!M54=57,AND(GL_Eingabe!J54=0,Due_org!R68="Daten unvollständig")),AND(GL_Eingabe!M54=59,AND(GL_Eingabe!J54=0,Due_org!R69="Daten unvollständig"))),0,1),0)</f>
        <v>1</v>
      </c>
      <c r="U175" s="1578"/>
      <c r="Z175" s="1579"/>
      <c r="AE175" s="1578"/>
      <c r="AJ175" s="1578"/>
      <c r="AK175" s="1580"/>
    </row>
    <row r="176" spans="3:37" s="1577" customFormat="1" hidden="1" x14ac:dyDescent="0.2">
      <c r="C176" s="1578"/>
      <c r="F176" s="1577" t="s">
        <v>4242</v>
      </c>
      <c r="G176" s="1578"/>
      <c r="H176" s="1600">
        <f>GL_Eingabe!$M$43</f>
        <v>1</v>
      </c>
      <c r="I176" s="1601">
        <f>IF(H176&gt;1,1,0)</f>
        <v>0</v>
      </c>
      <c r="J176" s="1577" t="s">
        <v>4156</v>
      </c>
      <c r="U176" s="1578"/>
      <c r="Z176" s="1579"/>
      <c r="AE176" s="1578"/>
      <c r="AJ176" s="1578"/>
      <c r="AK176" s="1580"/>
    </row>
    <row r="177" spans="3:37" s="1577" customFormat="1" hidden="1" x14ac:dyDescent="0.2">
      <c r="C177" s="1578"/>
      <c r="E177" s="1579"/>
      <c r="F177" s="1579"/>
      <c r="G177" s="1578"/>
      <c r="H177" s="1602"/>
      <c r="U177" s="1578"/>
      <c r="Z177" s="1579"/>
      <c r="AE177" s="1578"/>
      <c r="AJ177" s="1578"/>
      <c r="AK177" s="1580"/>
    </row>
    <row r="178" spans="3:37" s="1577" customFormat="1" ht="15" hidden="1" x14ac:dyDescent="0.25">
      <c r="C178" s="1578"/>
      <c r="E178" s="1579"/>
      <c r="F178" s="1579"/>
      <c r="G178" s="1578"/>
      <c r="H178" s="1589" t="s">
        <v>3759</v>
      </c>
      <c r="I178" s="1603">
        <f>SUM(I172:I176)</f>
        <v>1</v>
      </c>
      <c r="U178" s="1578"/>
      <c r="Z178" s="1579"/>
      <c r="AE178" s="1578"/>
      <c r="AJ178" s="1578"/>
      <c r="AK178" s="1580"/>
    </row>
    <row r="179" spans="3:37" s="1577" customFormat="1" hidden="1" x14ac:dyDescent="0.2">
      <c r="C179" s="1578"/>
      <c r="G179" s="1578"/>
      <c r="H179" s="1604" t="s">
        <v>4161</v>
      </c>
      <c r="I179" s="1605">
        <f>H170-I178</f>
        <v>4</v>
      </c>
      <c r="U179" s="1578"/>
      <c r="Z179" s="1579"/>
      <c r="AE179" s="1578"/>
      <c r="AJ179" s="1578"/>
      <c r="AK179" s="1580"/>
    </row>
    <row r="180" spans="3:37" s="1577" customFormat="1" hidden="1" x14ac:dyDescent="0.2">
      <c r="C180" s="1578"/>
      <c r="G180" s="1578"/>
      <c r="U180" s="1578"/>
      <c r="Z180" s="1579"/>
      <c r="AE180" s="1578"/>
      <c r="AJ180" s="1578"/>
      <c r="AK180" s="1580"/>
    </row>
    <row r="181" spans="3:37" s="1577" customFormat="1" hidden="1" x14ac:dyDescent="0.2">
      <c r="C181" s="1578"/>
      <c r="G181" s="1578"/>
      <c r="U181" s="1578"/>
      <c r="Z181" s="1579"/>
      <c r="AE181" s="1578"/>
      <c r="AJ181" s="1578"/>
      <c r="AK181" s="1580"/>
    </row>
    <row r="182" spans="3:37" s="1606" customFormat="1" ht="15" hidden="1" x14ac:dyDescent="0.25">
      <c r="C182" s="1607"/>
      <c r="E182" s="1608" t="s">
        <v>3562</v>
      </c>
      <c r="G182" s="1607"/>
      <c r="U182" s="1607"/>
      <c r="Z182" s="1609"/>
      <c r="AE182" s="1607"/>
      <c r="AJ182" s="1607"/>
      <c r="AK182" s="1610"/>
    </row>
    <row r="183" spans="3:37" s="1606" customFormat="1" hidden="1" x14ac:dyDescent="0.2">
      <c r="C183" s="1607"/>
      <c r="G183" s="1607"/>
      <c r="U183" s="1607"/>
      <c r="Z183" s="1609"/>
      <c r="AE183" s="1607"/>
      <c r="AJ183" s="1607"/>
      <c r="AK183" s="1610"/>
    </row>
    <row r="184" spans="3:37" s="1606" customFormat="1" hidden="1" x14ac:dyDescent="0.2">
      <c r="C184" s="1607"/>
      <c r="E184" s="1606" t="s">
        <v>3489</v>
      </c>
      <c r="G184" s="1607"/>
      <c r="H184" s="1611">
        <f>$H$122</f>
        <v>0</v>
      </c>
      <c r="I184" s="1606" t="s">
        <v>3492</v>
      </c>
      <c r="U184" s="1607"/>
      <c r="Z184" s="1609"/>
      <c r="AE184" s="1607"/>
      <c r="AJ184" s="1607"/>
      <c r="AK184" s="1610"/>
    </row>
    <row r="185" spans="3:37" s="1606" customFormat="1" hidden="1" x14ac:dyDescent="0.2">
      <c r="C185" s="1607"/>
      <c r="E185" s="1606" t="s">
        <v>3563</v>
      </c>
      <c r="G185" s="1607"/>
      <c r="H185" s="1606">
        <f>VLOOKUP(GL_Eingabe!$M$21,$E$95:$N$110,$J$8,FALSE)</f>
        <v>0</v>
      </c>
      <c r="I185" s="1606" t="s">
        <v>3564</v>
      </c>
      <c r="U185" s="1607"/>
      <c r="Z185" s="1609"/>
      <c r="AE185" s="1607"/>
      <c r="AJ185" s="1607"/>
      <c r="AK185" s="1610"/>
    </row>
    <row r="186" spans="3:37" s="1606" customFormat="1" hidden="1" x14ac:dyDescent="0.2">
      <c r="C186" s="1607"/>
      <c r="E186" s="1606" t="s">
        <v>3543</v>
      </c>
      <c r="G186" s="1607"/>
      <c r="H186" s="1611">
        <f>H184*H185</f>
        <v>0</v>
      </c>
      <c r="I186" s="1606" t="s">
        <v>3565</v>
      </c>
      <c r="U186" s="1607"/>
      <c r="Z186" s="1609"/>
      <c r="AE186" s="1607"/>
      <c r="AJ186" s="1607"/>
      <c r="AK186" s="1610"/>
    </row>
    <row r="187" spans="3:37" s="1606" customFormat="1" hidden="1" x14ac:dyDescent="0.2">
      <c r="C187" s="1607"/>
      <c r="E187" s="1606" t="s">
        <v>3806</v>
      </c>
      <c r="G187" s="1607"/>
      <c r="H187" s="1607" t="str">
        <f>IF(GL_Eingabe!H47&gt;0,PKMg!B14,"")</f>
        <v/>
      </c>
      <c r="K187" s="1606" t="s">
        <v>4334</v>
      </c>
      <c r="U187" s="1607"/>
      <c r="Z187" s="1609"/>
      <c r="AE187" s="1607"/>
      <c r="AJ187" s="1607"/>
      <c r="AK187" s="1610"/>
    </row>
    <row r="188" spans="3:37" s="1606" customFormat="1" hidden="1" x14ac:dyDescent="0.2">
      <c r="C188" s="1607"/>
      <c r="E188" s="1606" t="s">
        <v>3805</v>
      </c>
      <c r="G188" s="1607"/>
      <c r="H188" s="1612">
        <f>PKMg!I311</f>
        <v>80</v>
      </c>
      <c r="U188" s="1607"/>
      <c r="Z188" s="1609"/>
      <c r="AE188" s="1607"/>
      <c r="AJ188" s="1607"/>
      <c r="AK188" s="1610"/>
    </row>
    <row r="189" spans="3:37" s="1606" customFormat="1" ht="15" hidden="1" x14ac:dyDescent="0.25">
      <c r="C189" s="1607"/>
      <c r="F189" s="1608" t="s">
        <v>4361</v>
      </c>
      <c r="G189" s="1607"/>
      <c r="H189" s="1613" t="e">
        <f>GL_Ergebnis!H43+GL_Ergebnis!H44</f>
        <v>#VALUE!</v>
      </c>
      <c r="I189" s="1608" t="s">
        <v>3565</v>
      </c>
      <c r="U189" s="1607"/>
      <c r="Z189" s="1609"/>
      <c r="AE189" s="1607"/>
      <c r="AJ189" s="1607"/>
      <c r="AK189" s="1610"/>
    </row>
    <row r="190" spans="3:37" s="1606" customFormat="1" hidden="1" x14ac:dyDescent="0.2">
      <c r="C190" s="1607"/>
      <c r="G190" s="1607"/>
      <c r="U190" s="1607"/>
      <c r="Z190" s="1609"/>
      <c r="AE190" s="1607"/>
      <c r="AJ190" s="1607"/>
      <c r="AK190" s="1610"/>
    </row>
    <row r="191" spans="3:37" s="1606" customFormat="1" ht="15" hidden="1" x14ac:dyDescent="0.25">
      <c r="C191" s="1607"/>
      <c r="E191" s="1608" t="s">
        <v>3566</v>
      </c>
      <c r="G191" s="1607"/>
      <c r="U191" s="1607"/>
      <c r="Z191" s="1609"/>
      <c r="AE191" s="1607"/>
      <c r="AJ191" s="1607"/>
      <c r="AK191" s="1610"/>
    </row>
    <row r="192" spans="3:37" s="1606" customFormat="1" hidden="1" x14ac:dyDescent="0.2">
      <c r="C192" s="1607"/>
      <c r="E192" s="1606" t="s">
        <v>3489</v>
      </c>
      <c r="G192" s="1607"/>
      <c r="H192" s="1611">
        <f>$H$122</f>
        <v>0</v>
      </c>
      <c r="I192" s="1606" t="s">
        <v>3492</v>
      </c>
      <c r="U192" s="1607"/>
      <c r="Z192" s="1609"/>
      <c r="AE192" s="1607"/>
      <c r="AJ192" s="1607"/>
      <c r="AK192" s="1610"/>
    </row>
    <row r="193" spans="3:37" s="1606" customFormat="1" hidden="1" x14ac:dyDescent="0.2">
      <c r="C193" s="1607"/>
      <c r="E193" s="1606" t="s">
        <v>3567</v>
      </c>
      <c r="G193" s="1607"/>
      <c r="H193" s="1611">
        <f>VLOOKUP(GL_Eingabe!$M$21,$E$95:$N$110,$L$8,FALSE)</f>
        <v>0</v>
      </c>
      <c r="I193" s="1606" t="s">
        <v>3568</v>
      </c>
      <c r="U193" s="1607"/>
      <c r="Z193" s="1609"/>
      <c r="AE193" s="1607"/>
      <c r="AJ193" s="1607"/>
      <c r="AK193" s="1610"/>
    </row>
    <row r="194" spans="3:37" s="1606" customFormat="1" hidden="1" x14ac:dyDescent="0.2">
      <c r="C194" s="1607"/>
      <c r="E194" s="1606" t="s">
        <v>3806</v>
      </c>
      <c r="G194" s="1607"/>
      <c r="H194" s="1607" t="str">
        <f>IF(GL_Eingabe!I47&gt;0,PKMg!C14,"")</f>
        <v/>
      </c>
      <c r="K194" s="1606" t="s">
        <v>4334</v>
      </c>
      <c r="U194" s="1607"/>
      <c r="Z194" s="1609"/>
      <c r="AE194" s="1607"/>
      <c r="AJ194" s="1607"/>
      <c r="AK194" s="1610"/>
    </row>
    <row r="195" spans="3:37" s="1606" customFormat="1" hidden="1" x14ac:dyDescent="0.2">
      <c r="C195" s="1607"/>
      <c r="E195" s="1606" t="s">
        <v>3543</v>
      </c>
      <c r="G195" s="1607"/>
      <c r="H195" s="1611">
        <f>H192*H193</f>
        <v>0</v>
      </c>
      <c r="I195" s="1606" t="s">
        <v>3569</v>
      </c>
      <c r="U195" s="1607"/>
      <c r="Z195" s="1609"/>
      <c r="AE195" s="1607"/>
      <c r="AJ195" s="1607"/>
      <c r="AK195" s="1610"/>
    </row>
    <row r="196" spans="3:37" s="1606" customFormat="1" hidden="1" x14ac:dyDescent="0.2">
      <c r="C196" s="1607"/>
      <c r="E196" s="1606" t="s">
        <v>3805</v>
      </c>
      <c r="G196" s="1607"/>
      <c r="H196" s="1612">
        <f>PKMg!J311</f>
        <v>80</v>
      </c>
      <c r="I196" s="1606" t="s">
        <v>3569</v>
      </c>
      <c r="U196" s="1607"/>
      <c r="Z196" s="1609"/>
      <c r="AE196" s="1607"/>
      <c r="AJ196" s="1607"/>
      <c r="AK196" s="1610"/>
    </row>
    <row r="197" spans="3:37" s="1606" customFormat="1" ht="15" hidden="1" x14ac:dyDescent="0.25">
      <c r="C197" s="1607"/>
      <c r="F197" s="1608" t="s">
        <v>4361</v>
      </c>
      <c r="G197" s="1607"/>
      <c r="H197" s="1613" t="e">
        <f>GL_Ergebnis!I43+GL_Ergebnis!I44</f>
        <v>#VALUE!</v>
      </c>
      <c r="I197" s="1608" t="s">
        <v>3569</v>
      </c>
      <c r="U197" s="1607"/>
      <c r="Z197" s="1609"/>
      <c r="AE197" s="1607"/>
      <c r="AJ197" s="1607"/>
      <c r="AK197" s="1610"/>
    </row>
    <row r="198" spans="3:37" s="1606" customFormat="1" hidden="1" x14ac:dyDescent="0.2">
      <c r="C198" s="1607"/>
      <c r="G198" s="1607"/>
      <c r="H198" s="1612"/>
      <c r="U198" s="1607"/>
      <c r="Z198" s="1609"/>
      <c r="AE198" s="1607"/>
      <c r="AJ198" s="1607"/>
      <c r="AK198" s="1610"/>
    </row>
    <row r="199" spans="3:37" s="1606" customFormat="1" ht="15" hidden="1" x14ac:dyDescent="0.25">
      <c r="C199" s="1607"/>
      <c r="E199" s="1608" t="s">
        <v>3570</v>
      </c>
      <c r="G199" s="1607"/>
      <c r="U199" s="1607"/>
      <c r="Z199" s="1609"/>
      <c r="AE199" s="1607"/>
      <c r="AJ199" s="1607"/>
      <c r="AK199" s="1610"/>
    </row>
    <row r="200" spans="3:37" s="1606" customFormat="1" ht="15" hidden="1" x14ac:dyDescent="0.25">
      <c r="C200" s="1607"/>
      <c r="E200" s="1608"/>
      <c r="G200" s="1607"/>
      <c r="U200" s="1607"/>
      <c r="Z200" s="1609"/>
      <c r="AE200" s="1607"/>
      <c r="AJ200" s="1607"/>
      <c r="AK200" s="1610"/>
    </row>
    <row r="201" spans="3:37" s="1606" customFormat="1" hidden="1" x14ac:dyDescent="0.2">
      <c r="C201" s="1607"/>
      <c r="E201" s="1606" t="s">
        <v>3489</v>
      </c>
      <c r="G201" s="1607"/>
      <c r="H201" s="1611">
        <f>$H$122</f>
        <v>0</v>
      </c>
      <c r="I201" s="1606" t="s">
        <v>3492</v>
      </c>
      <c r="U201" s="1607"/>
      <c r="Z201" s="1609"/>
      <c r="AE201" s="1607"/>
      <c r="AJ201" s="1607"/>
      <c r="AK201" s="1610"/>
    </row>
    <row r="202" spans="3:37" s="1606" customFormat="1" hidden="1" x14ac:dyDescent="0.2">
      <c r="C202" s="1607"/>
      <c r="E202" s="1606" t="s">
        <v>3572</v>
      </c>
      <c r="G202" s="1607"/>
      <c r="H202" s="1611">
        <f>VLOOKUP(GL_Eingabe!$M$21,$E$95:$N$110,$N$8,FALSE)</f>
        <v>0</v>
      </c>
      <c r="I202" s="1606" t="s">
        <v>3571</v>
      </c>
      <c r="U202" s="1607"/>
      <c r="Z202" s="1609"/>
      <c r="AE202" s="1607"/>
      <c r="AJ202" s="1607"/>
      <c r="AK202" s="1610"/>
    </row>
    <row r="203" spans="3:37" s="1606" customFormat="1" hidden="1" x14ac:dyDescent="0.2">
      <c r="C203" s="1607"/>
      <c r="E203" s="1606" t="s">
        <v>3806</v>
      </c>
      <c r="G203" s="1607"/>
      <c r="H203" s="1607" t="str">
        <f>IF(GL_Eingabe!J47&gt;0,PKMg!D14,"")</f>
        <v/>
      </c>
      <c r="K203" s="1606" t="s">
        <v>4334</v>
      </c>
      <c r="U203" s="1607"/>
      <c r="Z203" s="1609"/>
      <c r="AE203" s="1607"/>
      <c r="AJ203" s="1607"/>
      <c r="AK203" s="1610"/>
    </row>
    <row r="204" spans="3:37" s="1606" customFormat="1" hidden="1" x14ac:dyDescent="0.2">
      <c r="C204" s="1607"/>
      <c r="E204" s="1606" t="s">
        <v>3543</v>
      </c>
      <c r="G204" s="1607"/>
      <c r="H204" s="1611">
        <f>H201*H202</f>
        <v>0</v>
      </c>
      <c r="I204" s="1606" t="s">
        <v>3573</v>
      </c>
      <c r="U204" s="1607"/>
      <c r="Z204" s="1609"/>
      <c r="AE204" s="1607"/>
      <c r="AJ204" s="1607"/>
      <c r="AK204" s="1610"/>
    </row>
    <row r="205" spans="3:37" s="1606" customFormat="1" hidden="1" x14ac:dyDescent="0.2">
      <c r="C205" s="1607"/>
      <c r="E205" s="1606" t="s">
        <v>3805</v>
      </c>
      <c r="G205" s="1607"/>
      <c r="H205" s="1612">
        <f>PKMg!K311</f>
        <v>60</v>
      </c>
      <c r="I205" s="1606" t="s">
        <v>3573</v>
      </c>
      <c r="U205" s="1607"/>
      <c r="Z205" s="1609"/>
      <c r="AE205" s="1607"/>
      <c r="AJ205" s="1607"/>
      <c r="AK205" s="1610"/>
    </row>
    <row r="206" spans="3:37" s="1606" customFormat="1" ht="15" hidden="1" x14ac:dyDescent="0.25">
      <c r="C206" s="1607"/>
      <c r="F206" s="1608" t="s">
        <v>4361</v>
      </c>
      <c r="G206" s="1607"/>
      <c r="H206" s="1613" t="e">
        <f>GL_Ergebnis!J43+GL_Ergebnis!J44</f>
        <v>#VALUE!</v>
      </c>
      <c r="I206" s="1608" t="s">
        <v>3573</v>
      </c>
      <c r="U206" s="1607"/>
      <c r="Z206" s="1609"/>
      <c r="AE206" s="1607"/>
      <c r="AJ206" s="1607"/>
      <c r="AK206" s="1610"/>
    </row>
    <row r="207" spans="3:37" s="1606" customFormat="1" hidden="1" x14ac:dyDescent="0.2">
      <c r="C207" s="1607"/>
      <c r="G207" s="1607"/>
      <c r="H207" s="1612"/>
      <c r="U207" s="1607"/>
      <c r="Z207" s="1609"/>
      <c r="AE207" s="1607"/>
      <c r="AJ207" s="1607"/>
      <c r="AK207" s="1610"/>
    </row>
    <row r="208" spans="3:37" s="1606" customFormat="1" hidden="1" x14ac:dyDescent="0.2">
      <c r="C208" s="1607"/>
      <c r="F208" s="1606" t="s">
        <v>4198</v>
      </c>
      <c r="G208" s="1607"/>
      <c r="H208" s="1612" t="str">
        <f>IF(GL_Eingabe!H47&gt;0,PKMg!I311,"")</f>
        <v/>
      </c>
      <c r="I208" s="1606" t="s">
        <v>3565</v>
      </c>
      <c r="K208" s="1606" t="s">
        <v>4334</v>
      </c>
      <c r="U208" s="1607"/>
      <c r="Z208" s="1609"/>
      <c r="AE208" s="1607"/>
      <c r="AJ208" s="1607"/>
      <c r="AK208" s="1610"/>
    </row>
    <row r="209" spans="3:37" s="1606" customFormat="1" hidden="1" x14ac:dyDescent="0.2">
      <c r="C209" s="1607"/>
      <c r="F209" s="1606" t="s">
        <v>4199</v>
      </c>
      <c r="G209" s="1607"/>
      <c r="H209" s="1612" t="str">
        <f>IF(GL_Eingabe!I47&gt;0,PKMg!J311,"")</f>
        <v/>
      </c>
      <c r="I209" s="1606" t="s">
        <v>3569</v>
      </c>
      <c r="K209" s="1606" t="s">
        <v>4334</v>
      </c>
      <c r="U209" s="1607"/>
      <c r="Z209" s="1609"/>
      <c r="AE209" s="1607"/>
      <c r="AJ209" s="1607"/>
      <c r="AK209" s="1610"/>
    </row>
    <row r="210" spans="3:37" s="1606" customFormat="1" hidden="1" x14ac:dyDescent="0.2">
      <c r="C210" s="1607"/>
      <c r="F210" s="1606" t="s">
        <v>4037</v>
      </c>
      <c r="G210" s="1607"/>
      <c r="H210" s="1612" t="str">
        <f>IF(GL_Eingabe!J47&gt;0,PKMg!K311,"")</f>
        <v/>
      </c>
      <c r="I210" s="1606" t="s">
        <v>3573</v>
      </c>
      <c r="K210" s="1606" t="s">
        <v>4334</v>
      </c>
      <c r="U210" s="1607"/>
      <c r="Z210" s="1609"/>
      <c r="AE210" s="1607"/>
      <c r="AJ210" s="1607"/>
      <c r="AK210" s="1610"/>
    </row>
    <row r="211" spans="3:37" s="1606" customFormat="1" hidden="1" x14ac:dyDescent="0.2">
      <c r="C211" s="1607"/>
      <c r="G211" s="1607"/>
      <c r="U211" s="1607"/>
      <c r="Z211" s="1609"/>
      <c r="AE211" s="1607"/>
      <c r="AJ211" s="1607"/>
      <c r="AK211" s="1610"/>
    </row>
    <row r="212" spans="3:37" s="1606" customFormat="1" ht="15" hidden="1" x14ac:dyDescent="0.25">
      <c r="C212" s="1607"/>
      <c r="F212" s="1608" t="s">
        <v>4206</v>
      </c>
      <c r="G212" s="1607"/>
      <c r="H212" s="1608">
        <v>4</v>
      </c>
      <c r="I212" s="1606" t="s">
        <v>4197</v>
      </c>
      <c r="U212" s="1607"/>
      <c r="Z212" s="1609"/>
      <c r="AE212" s="1607"/>
      <c r="AJ212" s="1607"/>
      <c r="AK212" s="1610"/>
    </row>
    <row r="213" spans="3:37" s="1606" customFormat="1" ht="15" hidden="1" x14ac:dyDescent="0.25">
      <c r="C213" s="1607"/>
      <c r="F213" s="1608"/>
      <c r="G213" s="1607"/>
      <c r="H213" s="1608"/>
      <c r="I213" s="1607" t="s">
        <v>3807</v>
      </c>
      <c r="J213" s="1607" t="s">
        <v>3808</v>
      </c>
      <c r="K213" s="1607" t="s">
        <v>4037</v>
      </c>
      <c r="U213" s="1607"/>
      <c r="Z213" s="1609"/>
      <c r="AE213" s="1607"/>
      <c r="AJ213" s="1607"/>
      <c r="AK213" s="1610"/>
    </row>
    <row r="214" spans="3:37" s="1606" customFormat="1" hidden="1" x14ac:dyDescent="0.2">
      <c r="C214" s="1607"/>
      <c r="F214" s="1606" t="s">
        <v>13</v>
      </c>
      <c r="G214" s="1607"/>
      <c r="H214" s="1614">
        <f>GL_Eingabe!M21</f>
        <v>1</v>
      </c>
      <c r="I214" s="1607">
        <f>IF(H214&gt;1,1,0)</f>
        <v>0</v>
      </c>
      <c r="J214" s="1607">
        <f>I214</f>
        <v>0</v>
      </c>
      <c r="K214" s="1607">
        <f>I214</f>
        <v>0</v>
      </c>
      <c r="U214" s="1607"/>
      <c r="Z214" s="1609"/>
      <c r="AE214" s="1607"/>
      <c r="AJ214" s="1607"/>
      <c r="AK214" s="1610"/>
    </row>
    <row r="215" spans="3:37" s="1606" customFormat="1" hidden="1" x14ac:dyDescent="0.2">
      <c r="C215" s="1607"/>
      <c r="F215" s="1606" t="s">
        <v>4151</v>
      </c>
      <c r="G215" s="1607"/>
      <c r="H215" s="1611">
        <f>H122</f>
        <v>0</v>
      </c>
      <c r="I215" s="1607">
        <f>IF(H121="Nein",0,IF(H215&gt;0,1,0))</f>
        <v>0</v>
      </c>
      <c r="J215" s="1607">
        <f t="shared" ref="J215:J216" si="5">I215</f>
        <v>0</v>
      </c>
      <c r="K215" s="1607">
        <f t="shared" ref="K215:K216" si="6">I215</f>
        <v>0</v>
      </c>
      <c r="U215" s="1607"/>
      <c r="Z215" s="1609"/>
      <c r="AE215" s="1607"/>
      <c r="AJ215" s="1607"/>
      <c r="AK215" s="1610"/>
    </row>
    <row r="216" spans="3:37" s="1606" customFormat="1" hidden="1" x14ac:dyDescent="0.2">
      <c r="C216" s="1607"/>
      <c r="F216" s="1606" t="s">
        <v>3577</v>
      </c>
      <c r="G216" s="1607"/>
      <c r="H216" s="1614">
        <f>GL_Eingabe!M48</f>
        <v>4</v>
      </c>
      <c r="I216" s="1607">
        <v>1</v>
      </c>
      <c r="J216" s="1607">
        <f t="shared" si="5"/>
        <v>1</v>
      </c>
      <c r="K216" s="1607">
        <f t="shared" si="6"/>
        <v>1</v>
      </c>
      <c r="L216" s="1606" t="s">
        <v>4200</v>
      </c>
      <c r="U216" s="1607"/>
      <c r="Z216" s="1609"/>
      <c r="AE216" s="1607"/>
      <c r="AJ216" s="1607"/>
      <c r="AK216" s="1610"/>
    </row>
    <row r="217" spans="3:37" s="1606" customFormat="1" hidden="1" x14ac:dyDescent="0.2">
      <c r="C217" s="1607"/>
      <c r="F217" s="1615" t="s">
        <v>4179</v>
      </c>
      <c r="G217" s="1607"/>
      <c r="H217" s="1606">
        <f>GL_Eingabe!H47</f>
        <v>0</v>
      </c>
      <c r="I217" s="1607">
        <f>IF(GL_Eingabe!H47&gt;0,1,0)</f>
        <v>0</v>
      </c>
      <c r="J217" s="1607"/>
      <c r="K217" s="1607"/>
      <c r="U217" s="1607"/>
      <c r="Z217" s="1609"/>
      <c r="AE217" s="1607"/>
      <c r="AJ217" s="1607"/>
      <c r="AK217" s="1610"/>
    </row>
    <row r="218" spans="3:37" s="1606" customFormat="1" hidden="1" x14ac:dyDescent="0.2">
      <c r="C218" s="1607"/>
      <c r="F218" s="1615" t="s">
        <v>4180</v>
      </c>
      <c r="G218" s="1607"/>
      <c r="H218" s="1606">
        <f>GL_Eingabe!I47</f>
        <v>0</v>
      </c>
      <c r="I218" s="1607"/>
      <c r="J218" s="1607">
        <f>IF(GL_Eingabe!I47&gt;0,1,0)</f>
        <v>0</v>
      </c>
      <c r="K218" s="1607"/>
      <c r="U218" s="1607"/>
      <c r="Z218" s="1609"/>
      <c r="AE218" s="1607"/>
      <c r="AJ218" s="1607"/>
      <c r="AK218" s="1610"/>
    </row>
    <row r="219" spans="3:37" s="1606" customFormat="1" hidden="1" x14ac:dyDescent="0.2">
      <c r="C219" s="1607"/>
      <c r="F219" s="1615" t="s">
        <v>4181</v>
      </c>
      <c r="G219" s="1607"/>
      <c r="H219" s="1606">
        <f>GL_Eingabe!J47</f>
        <v>0</v>
      </c>
      <c r="I219" s="1607"/>
      <c r="J219" s="1607"/>
      <c r="K219" s="1607">
        <f>IF(GL_Eingabe!J47&gt;0,1,0)</f>
        <v>0</v>
      </c>
      <c r="U219" s="1607"/>
      <c r="Z219" s="1609"/>
      <c r="AE219" s="1607"/>
      <c r="AJ219" s="1607"/>
      <c r="AK219" s="1610"/>
    </row>
    <row r="220" spans="3:37" s="1606" customFormat="1" ht="15" hidden="1" x14ac:dyDescent="0.25">
      <c r="C220" s="1607"/>
      <c r="F220" s="1608" t="s">
        <v>3759</v>
      </c>
      <c r="G220" s="1607"/>
      <c r="I220" s="1607">
        <f>SUM(I214:I219)</f>
        <v>1</v>
      </c>
      <c r="J220" s="1607">
        <f>SUM(J214:J219)</f>
        <v>1</v>
      </c>
      <c r="K220" s="1607">
        <f>SUM(K214:K219)</f>
        <v>1</v>
      </c>
      <c r="U220" s="1607"/>
      <c r="Z220" s="1609"/>
      <c r="AE220" s="1607"/>
      <c r="AJ220" s="1607"/>
      <c r="AK220" s="1610"/>
    </row>
    <row r="221" spans="3:37" s="1606" customFormat="1" ht="15" hidden="1" x14ac:dyDescent="0.25">
      <c r="C221" s="1607"/>
      <c r="F221" s="1608"/>
      <c r="G221" s="1607"/>
      <c r="I221" s="1607"/>
      <c r="J221" s="1607"/>
      <c r="K221" s="1607"/>
      <c r="U221" s="1607"/>
      <c r="Z221" s="1609"/>
      <c r="AE221" s="1607"/>
      <c r="AJ221" s="1607"/>
      <c r="AK221" s="1610"/>
    </row>
    <row r="222" spans="3:37" s="1606" customFormat="1" ht="15" hidden="1" x14ac:dyDescent="0.25">
      <c r="C222" s="1607"/>
      <c r="F222" s="1616" t="s">
        <v>4161</v>
      </c>
      <c r="G222" s="1607"/>
      <c r="I222" s="1617">
        <f>$H$212-I220</f>
        <v>3</v>
      </c>
      <c r="J222" s="1617">
        <f>$H$212-J220</f>
        <v>3</v>
      </c>
      <c r="K222" s="1617">
        <f>$H$212-K220</f>
        <v>3</v>
      </c>
      <c r="U222" s="1607"/>
      <c r="Z222" s="1609"/>
      <c r="AE222" s="1607"/>
      <c r="AJ222" s="1607"/>
      <c r="AK222" s="1610"/>
    </row>
    <row r="223" spans="3:37" s="1606" customFormat="1" hidden="1" x14ac:dyDescent="0.2">
      <c r="C223" s="1607"/>
      <c r="G223" s="1607"/>
      <c r="U223" s="1607"/>
      <c r="Z223" s="1609"/>
      <c r="AE223" s="1607"/>
      <c r="AJ223" s="1607"/>
      <c r="AK223" s="1610"/>
    </row>
    <row r="224" spans="3:37" s="1572" customFormat="1" ht="15" hidden="1" x14ac:dyDescent="0.25">
      <c r="C224" s="1573"/>
      <c r="F224" s="1574" t="s">
        <v>3737</v>
      </c>
      <c r="G224" s="1573"/>
      <c r="U224" s="1573"/>
      <c r="Z224" s="1575"/>
      <c r="AE224" s="1573"/>
      <c r="AJ224" s="1573"/>
      <c r="AK224" s="1576"/>
    </row>
    <row r="225" spans="3:37" s="1577" customFormat="1" hidden="1" x14ac:dyDescent="0.2">
      <c r="C225" s="1578"/>
      <c r="G225" s="1578"/>
      <c r="U225" s="1578"/>
      <c r="Z225" s="1579"/>
      <c r="AE225" s="1578"/>
      <c r="AJ225" s="1578"/>
      <c r="AK225" s="1580"/>
    </row>
    <row r="226" spans="3:37" s="1577" customFormat="1" hidden="1" x14ac:dyDescent="0.2">
      <c r="C226" s="1578"/>
      <c r="F226" s="1577" t="s">
        <v>3488</v>
      </c>
      <c r="G226" s="1578"/>
      <c r="U226" s="1578"/>
      <c r="Z226" s="1579"/>
      <c r="AE226" s="1578"/>
      <c r="AJ226" s="1578"/>
      <c r="AK226" s="1580"/>
    </row>
    <row r="227" spans="3:37" s="1577" customFormat="1" hidden="1" x14ac:dyDescent="0.2">
      <c r="C227" s="1578"/>
      <c r="F227" s="1577" t="s">
        <v>3670</v>
      </c>
      <c r="G227" s="1578"/>
      <c r="H227" s="1600">
        <f>AB_Eingabe!M21</f>
        <v>1</v>
      </c>
      <c r="U227" s="1578"/>
      <c r="Z227" s="1579"/>
      <c r="AE227" s="1578"/>
      <c r="AJ227" s="1578"/>
      <c r="AK227" s="1580"/>
    </row>
    <row r="228" spans="3:37" s="1577" customFormat="1" ht="15" hidden="1" x14ac:dyDescent="0.25">
      <c r="C228" s="1578"/>
      <c r="F228" s="1589" t="s">
        <v>3756</v>
      </c>
      <c r="G228" s="1618"/>
      <c r="H228" s="1619">
        <f>VLOOKUP(AB_Eingabe!$M$21,$E$12:$G$93,$G$8,FALSE)</f>
        <v>0</v>
      </c>
      <c r="I228" s="1589"/>
      <c r="J228" s="1589"/>
      <c r="K228" s="1589"/>
      <c r="L228" s="1589" t="s">
        <v>3757</v>
      </c>
      <c r="M228" s="1589"/>
      <c r="N228" s="1589"/>
      <c r="O228" s="1589"/>
      <c r="P228" s="1589"/>
      <c r="U228" s="1578"/>
      <c r="Z228" s="1579"/>
      <c r="AE228" s="1578"/>
      <c r="AJ228" s="1578"/>
      <c r="AK228" s="1580"/>
    </row>
    <row r="229" spans="3:37" s="1577" customFormat="1" ht="15" hidden="1" x14ac:dyDescent="0.25">
      <c r="C229" s="1578"/>
      <c r="E229" s="1577">
        <v>1</v>
      </c>
      <c r="F229" s="1577" t="s">
        <v>12</v>
      </c>
      <c r="G229" s="1578"/>
      <c r="H229" s="1589" t="str">
        <f>VLOOKUP(AB_Eingabe!$M$21,$E$12:$AJ$94,$F$8,FALSE)</f>
        <v>auswählen !</v>
      </c>
      <c r="U229" s="1578"/>
      <c r="Z229" s="1579"/>
      <c r="AE229" s="1578"/>
      <c r="AJ229" s="1578"/>
      <c r="AK229" s="1580"/>
    </row>
    <row r="230" spans="3:37" s="1577" customFormat="1" ht="15" hidden="1" x14ac:dyDescent="0.25">
      <c r="C230" s="1578"/>
      <c r="F230" s="1577" t="s">
        <v>4105</v>
      </c>
      <c r="G230" s="1578"/>
      <c r="H230" s="1589">
        <f>VLOOKUP($H$227,$E$12:$AM$77,$AJ$8,FALSE)</f>
        <v>0</v>
      </c>
      <c r="U230" s="1578"/>
      <c r="Z230" s="1579"/>
      <c r="AE230" s="1578"/>
      <c r="AJ230" s="1578"/>
      <c r="AK230" s="1580"/>
    </row>
    <row r="231" spans="3:37" s="1577" customFormat="1" ht="15" hidden="1" x14ac:dyDescent="0.25">
      <c r="C231" s="1578"/>
      <c r="F231" s="1577" t="s">
        <v>4109</v>
      </c>
      <c r="G231" s="1578"/>
      <c r="H231" s="1589">
        <f>IF(VLOOKUP($H$227,$E$12:$AM$77,$AJ$8,FALSE)="Mais","Mais",0)</f>
        <v>0</v>
      </c>
      <c r="U231" s="1578"/>
      <c r="Z231" s="1579"/>
      <c r="AE231" s="1578"/>
      <c r="AJ231" s="1578"/>
      <c r="AK231" s="1580"/>
    </row>
    <row r="232" spans="3:37" s="1577" customFormat="1" hidden="1" x14ac:dyDescent="0.2">
      <c r="C232" s="1578"/>
      <c r="E232" s="1577">
        <v>2</v>
      </c>
      <c r="F232" s="1577" t="s">
        <v>3517</v>
      </c>
      <c r="G232" s="1578"/>
      <c r="H232" s="1577">
        <f>VLOOKUP(AB_Eingabe!$M$21,$E$12:$AJ$94,$T$8,FALSE)</f>
        <v>0</v>
      </c>
      <c r="I232" s="1577" t="s">
        <v>3479</v>
      </c>
      <c r="L232" s="1577" t="s">
        <v>3693</v>
      </c>
      <c r="U232" s="1578"/>
      <c r="Z232" s="1579"/>
      <c r="AE232" s="1578"/>
      <c r="AJ232" s="1578"/>
      <c r="AK232" s="1580"/>
    </row>
    <row r="233" spans="3:37" s="1577" customFormat="1" hidden="1" x14ac:dyDescent="0.2">
      <c r="C233" s="1578"/>
      <c r="G233" s="1578"/>
      <c r="U233" s="1578"/>
      <c r="Z233" s="1579"/>
      <c r="AE233" s="1578"/>
      <c r="AJ233" s="1578"/>
      <c r="AK233" s="1580"/>
    </row>
    <row r="234" spans="3:37" s="1577" customFormat="1" ht="15" hidden="1" x14ac:dyDescent="0.25">
      <c r="C234" s="1578"/>
      <c r="E234" s="1577">
        <v>3</v>
      </c>
      <c r="F234" s="1589" t="s">
        <v>3489</v>
      </c>
      <c r="G234" s="1578"/>
      <c r="H234" s="1620">
        <f>IF(H235="Ja",IF(AB_Eingabe!M21=1,0,IF(OR(AB_Eingabe!J29=0,AB_Eingabe!J29=""),AB_Eingabe!J31,AB_Eingabe!J29)),H236)</f>
        <v>0</v>
      </c>
      <c r="I234" s="1589" t="s">
        <v>3479</v>
      </c>
      <c r="L234" s="1577" t="s">
        <v>3694</v>
      </c>
      <c r="U234" s="1578"/>
      <c r="Z234" s="1579"/>
      <c r="AE234" s="1578"/>
      <c r="AJ234" s="1578"/>
      <c r="AK234" s="1580"/>
    </row>
    <row r="235" spans="3:37" s="1577" customFormat="1" ht="15" hidden="1" x14ac:dyDescent="0.25">
      <c r="C235" s="1578"/>
      <c r="F235" s="1589" t="s">
        <v>4282</v>
      </c>
      <c r="G235" s="1578"/>
      <c r="H235" s="1621" t="str">
        <f>IF(AND(AB_Eingabe!J31="",AB_Eingabe!J29=""),"Nein","Ja")</f>
        <v>Nein</v>
      </c>
      <c r="I235" s="1589"/>
      <c r="L235" s="1577" t="s">
        <v>4339</v>
      </c>
      <c r="U235" s="1578"/>
      <c r="Z235" s="1579"/>
      <c r="AE235" s="1578"/>
      <c r="AJ235" s="1578"/>
      <c r="AK235" s="1580"/>
    </row>
    <row r="236" spans="3:37" s="1577" customFormat="1" ht="15" hidden="1" x14ac:dyDescent="0.25">
      <c r="C236" s="1578"/>
      <c r="F236" s="1599" t="s">
        <v>4283</v>
      </c>
      <c r="G236" s="1578"/>
      <c r="H236" s="1620">
        <f>VLOOKUP(AB_Eingabe!M21,E12:AM77,AD8,FALSE)</f>
        <v>0</v>
      </c>
      <c r="I236" s="1589" t="s">
        <v>3479</v>
      </c>
      <c r="U236" s="1578"/>
      <c r="Z236" s="1579"/>
      <c r="AE236" s="1578"/>
      <c r="AJ236" s="1578"/>
      <c r="AK236" s="1580"/>
    </row>
    <row r="237" spans="3:37" s="1577" customFormat="1" hidden="1" x14ac:dyDescent="0.2">
      <c r="C237" s="1578"/>
      <c r="E237" s="1577">
        <v>4</v>
      </c>
      <c r="F237" s="1577" t="s">
        <v>3518</v>
      </c>
      <c r="G237" s="1578"/>
      <c r="H237" s="1583">
        <f>(H234-H232)</f>
        <v>0</v>
      </c>
      <c r="I237" s="1577" t="s">
        <v>3479</v>
      </c>
      <c r="L237" s="1577" t="s">
        <v>3695</v>
      </c>
      <c r="U237" s="1578"/>
      <c r="Z237" s="1579"/>
      <c r="AE237" s="1578"/>
      <c r="AJ237" s="1578"/>
      <c r="AK237" s="1580"/>
    </row>
    <row r="238" spans="3:37" s="1577" customFormat="1" hidden="1" x14ac:dyDescent="0.2">
      <c r="C238" s="1578"/>
      <c r="E238" s="1577">
        <v>5</v>
      </c>
      <c r="F238" s="1577" t="s">
        <v>3516</v>
      </c>
      <c r="G238" s="1578"/>
      <c r="H238" s="1577">
        <f>VLOOKUP(AB_Eingabe!$M$21,$E$12:$AJ$94,$U$8,FALSE)</f>
        <v>0</v>
      </c>
      <c r="I238" s="1577" t="s">
        <v>3479</v>
      </c>
      <c r="L238" s="1577" t="s">
        <v>3693</v>
      </c>
      <c r="U238" s="1578"/>
      <c r="Z238" s="1579"/>
      <c r="AE238" s="1578"/>
      <c r="AJ238" s="1578"/>
      <c r="AK238" s="1580"/>
    </row>
    <row r="239" spans="3:37" s="1577" customFormat="1" hidden="1" x14ac:dyDescent="0.2">
      <c r="C239" s="1578"/>
      <c r="E239" s="1577">
        <v>6</v>
      </c>
      <c r="F239" s="1585" t="s">
        <v>3521</v>
      </c>
      <c r="G239" s="1578"/>
      <c r="H239" s="1583">
        <f>IF(H238=0,0,H237/H238)</f>
        <v>0</v>
      </c>
      <c r="U239" s="1578"/>
      <c r="Z239" s="1579"/>
      <c r="AE239" s="1578"/>
      <c r="AJ239" s="1578"/>
      <c r="AK239" s="1580"/>
    </row>
    <row r="240" spans="3:37" s="1577" customFormat="1" hidden="1" x14ac:dyDescent="0.2">
      <c r="C240" s="1578"/>
      <c r="E240" s="1577">
        <v>7</v>
      </c>
      <c r="F240" s="1577" t="s">
        <v>3519</v>
      </c>
      <c r="G240" s="1578"/>
      <c r="H240" s="1583">
        <f>ROUNDDOWN(H239,0)</f>
        <v>0</v>
      </c>
      <c r="L240" s="1577" t="s">
        <v>3696</v>
      </c>
      <c r="U240" s="1578"/>
      <c r="Z240" s="1579"/>
      <c r="AE240" s="1578"/>
      <c r="AJ240" s="1578"/>
      <c r="AK240" s="1580"/>
    </row>
    <row r="241" spans="3:37" s="1577" customFormat="1" hidden="1" x14ac:dyDescent="0.2">
      <c r="C241" s="1578"/>
      <c r="E241" s="1577">
        <v>8</v>
      </c>
      <c r="F241" s="1577" t="s">
        <v>3524</v>
      </c>
      <c r="G241" s="1578"/>
      <c r="H241" s="1577">
        <f>VLOOKUP(AB_Eingabe!$M$21,$E$12:$AJ$94,$V$8,FALSE)</f>
        <v>0</v>
      </c>
      <c r="I241" s="1577" t="s">
        <v>3309</v>
      </c>
      <c r="L241" s="1577" t="s">
        <v>3693</v>
      </c>
      <c r="U241" s="1578"/>
      <c r="Z241" s="1579"/>
      <c r="AE241" s="1578"/>
      <c r="AJ241" s="1578"/>
      <c r="AK241" s="1580"/>
    </row>
    <row r="242" spans="3:37" s="1577" customFormat="1" hidden="1" x14ac:dyDescent="0.2">
      <c r="C242" s="1578"/>
      <c r="E242" s="1577">
        <v>9</v>
      </c>
      <c r="F242" s="1577" t="s">
        <v>3525</v>
      </c>
      <c r="G242" s="1578"/>
      <c r="H242" s="1577">
        <f>VLOOKUP(AB_Eingabe!$M$21,$E$12:$AJ$94,$X$8,FALSE)</f>
        <v>0</v>
      </c>
      <c r="I242" s="1577" t="s">
        <v>3309</v>
      </c>
      <c r="L242" s="1577" t="s">
        <v>3693</v>
      </c>
      <c r="U242" s="1578"/>
      <c r="Z242" s="1579"/>
      <c r="AE242" s="1578"/>
      <c r="AJ242" s="1578"/>
      <c r="AK242" s="1580"/>
    </row>
    <row r="243" spans="3:37" s="1577" customFormat="1" hidden="1" x14ac:dyDescent="0.2">
      <c r="C243" s="1578"/>
      <c r="E243" s="1577">
        <v>10</v>
      </c>
      <c r="F243" s="1577" t="s">
        <v>3491</v>
      </c>
      <c r="G243" s="1578"/>
      <c r="H243" s="1577">
        <f>VLOOKUP(AB_Eingabe!$M$21,$E$12:$AJ$94,$W$8,FALSE)</f>
        <v>0</v>
      </c>
      <c r="I243" s="1577" t="s">
        <v>3309</v>
      </c>
      <c r="U243" s="1578"/>
      <c r="Z243" s="1579"/>
      <c r="AE243" s="1578"/>
      <c r="AJ243" s="1578"/>
      <c r="AK243" s="1580"/>
    </row>
    <row r="244" spans="3:37" s="1577" customFormat="1" hidden="1" x14ac:dyDescent="0.2">
      <c r="C244" s="1578"/>
      <c r="E244" s="1577">
        <v>11</v>
      </c>
      <c r="F244" s="1577" t="s">
        <v>3514</v>
      </c>
      <c r="G244" s="1578"/>
      <c r="H244" s="1577">
        <f>IF(H237&gt;0,H241*H240,0)</f>
        <v>0</v>
      </c>
      <c r="I244" s="1577" t="s">
        <v>3536</v>
      </c>
      <c r="U244" s="1578"/>
      <c r="Z244" s="1579"/>
      <c r="AE244" s="1578"/>
      <c r="AJ244" s="1578"/>
      <c r="AK244" s="1580"/>
    </row>
    <row r="245" spans="3:37" s="1577" customFormat="1" hidden="1" x14ac:dyDescent="0.2">
      <c r="C245" s="1578"/>
      <c r="E245" s="1577">
        <v>12</v>
      </c>
      <c r="F245" s="1577" t="s">
        <v>3698</v>
      </c>
      <c r="G245" s="1578"/>
      <c r="H245" s="1577">
        <f>IF(H244&gt;H243,H243,H244)</f>
        <v>0</v>
      </c>
      <c r="I245" s="1577" t="s">
        <v>3699</v>
      </c>
      <c r="U245" s="1578"/>
      <c r="Z245" s="1579"/>
      <c r="AE245" s="1578"/>
      <c r="AJ245" s="1578"/>
      <c r="AK245" s="1580"/>
    </row>
    <row r="246" spans="3:37" s="1577" customFormat="1" hidden="1" x14ac:dyDescent="0.2">
      <c r="C246" s="1578"/>
      <c r="G246" s="1578"/>
      <c r="U246" s="1578"/>
      <c r="Z246" s="1579"/>
      <c r="AE246" s="1578"/>
      <c r="AJ246" s="1578"/>
      <c r="AK246" s="1580"/>
    </row>
    <row r="247" spans="3:37" s="1577" customFormat="1" hidden="1" x14ac:dyDescent="0.2">
      <c r="C247" s="1578"/>
      <c r="E247" s="1577">
        <v>12</v>
      </c>
      <c r="F247" s="1577" t="s">
        <v>3515</v>
      </c>
      <c r="G247" s="1578"/>
      <c r="H247" s="1577">
        <f>IF(H237&lt;0,H242*H240,0)</f>
        <v>0</v>
      </c>
      <c r="I247" s="1577" t="s">
        <v>3535</v>
      </c>
      <c r="U247" s="1578"/>
      <c r="Z247" s="1579"/>
      <c r="AE247" s="1578"/>
      <c r="AJ247" s="1578"/>
      <c r="AK247" s="1580"/>
    </row>
    <row r="248" spans="3:37" s="1577" customFormat="1" hidden="1" x14ac:dyDescent="0.2">
      <c r="C248" s="1578"/>
      <c r="E248" s="1577">
        <v>13</v>
      </c>
      <c r="F248" s="1577" t="s">
        <v>3520</v>
      </c>
      <c r="G248" s="1578"/>
      <c r="H248" s="1588">
        <f>H245+H247</f>
        <v>0</v>
      </c>
      <c r="I248" s="1577" t="s">
        <v>3697</v>
      </c>
      <c r="U248" s="1578"/>
      <c r="Z248" s="1579"/>
      <c r="AE248" s="1578"/>
      <c r="AJ248" s="1578"/>
      <c r="AK248" s="1580"/>
    </row>
    <row r="249" spans="3:37" s="1577" customFormat="1" hidden="1" x14ac:dyDescent="0.2">
      <c r="C249" s="1578"/>
      <c r="F249" s="1577" t="s">
        <v>3815</v>
      </c>
      <c r="G249" s="1578"/>
      <c r="H249" s="1577">
        <f>AB_Eingabe!M60</f>
        <v>1</v>
      </c>
      <c r="U249" s="1578"/>
      <c r="Z249" s="1579"/>
      <c r="AE249" s="1578"/>
      <c r="AJ249" s="1578"/>
      <c r="AK249" s="1580"/>
    </row>
    <row r="250" spans="3:37" s="1577" customFormat="1" hidden="1" x14ac:dyDescent="0.2">
      <c r="C250" s="1578"/>
      <c r="F250" s="1577" t="s">
        <v>3671</v>
      </c>
      <c r="G250" s="1578"/>
      <c r="H250" s="1588" t="str">
        <f>Vorfruechte!E148</f>
        <v>Sonstige Vorfrucht</v>
      </c>
      <c r="U250" s="1578"/>
      <c r="Z250" s="1579"/>
      <c r="AE250" s="1578"/>
      <c r="AJ250" s="1578"/>
      <c r="AK250" s="1580"/>
    </row>
    <row r="251" spans="3:37" s="1577" customFormat="1" ht="15" hidden="1" x14ac:dyDescent="0.25">
      <c r="C251" s="1578"/>
      <c r="E251" s="1589"/>
      <c r="F251" s="1589" t="s">
        <v>4171</v>
      </c>
      <c r="G251" s="1618"/>
      <c r="H251" s="1622">
        <f>IF(H228=0,0,Vorfruechte!F165)</f>
        <v>0</v>
      </c>
      <c r="I251" s="1577" t="s">
        <v>3703</v>
      </c>
      <c r="U251" s="1578"/>
      <c r="Z251" s="1579"/>
      <c r="AE251" s="1578"/>
      <c r="AJ251" s="1578"/>
      <c r="AK251" s="1580"/>
    </row>
    <row r="252" spans="3:37" s="1577" customFormat="1" ht="15" hidden="1" x14ac:dyDescent="0.25">
      <c r="C252" s="1578"/>
      <c r="E252" s="1589"/>
      <c r="F252" s="1599" t="s">
        <v>4702</v>
      </c>
      <c r="G252" s="1618"/>
      <c r="H252" s="1622">
        <f>IF(OR(H255&gt;=40,H251&gt;=40),IF(H251&gt;=H255,H251,0),IF(AND(H255=40,H251=40),40,IF((H251+H255)&gt;40,H251,IF((H251+H255)&lt;=40,(H251)))))</f>
        <v>0</v>
      </c>
      <c r="U252" s="1578"/>
      <c r="Z252" s="1579"/>
      <c r="AE252" s="1578"/>
      <c r="AJ252" s="1578"/>
      <c r="AK252" s="1580"/>
    </row>
    <row r="253" spans="3:37" s="1577" customFormat="1" ht="15" hidden="1" x14ac:dyDescent="0.25">
      <c r="C253" s="1578"/>
      <c r="E253" s="1589"/>
      <c r="F253" s="1577" t="s">
        <v>4153</v>
      </c>
      <c r="G253" s="1618"/>
      <c r="H253" s="1577">
        <f>AB_Eingabe!M61</f>
        <v>2</v>
      </c>
      <c r="U253" s="1578"/>
      <c r="Z253" s="1579"/>
      <c r="AE253" s="1578"/>
      <c r="AJ253" s="1578"/>
      <c r="AK253" s="1580"/>
    </row>
    <row r="254" spans="3:37" s="1577" customFormat="1" hidden="1" x14ac:dyDescent="0.2">
      <c r="C254" s="1578"/>
      <c r="F254" s="1577" t="s">
        <v>3738</v>
      </c>
      <c r="G254" s="1578"/>
      <c r="H254" s="1588" t="str">
        <f>Zwfru!E35</f>
        <v>Keine Zwischenfrucht vorhanden</v>
      </c>
      <c r="U254" s="1578"/>
      <c r="Z254" s="1579"/>
      <c r="AE254" s="1578"/>
      <c r="AJ254" s="1578"/>
      <c r="AK254" s="1580"/>
    </row>
    <row r="255" spans="3:37" s="1577" customFormat="1" ht="15" hidden="1" x14ac:dyDescent="0.25">
      <c r="C255" s="1578"/>
      <c r="F255" s="1589" t="s">
        <v>3734</v>
      </c>
      <c r="G255" s="1578"/>
      <c r="H255" s="1623" t="str">
        <f>IF(H228=0,"",Zwfru!G50)</f>
        <v/>
      </c>
      <c r="U255" s="1578"/>
      <c r="Z255" s="1579"/>
      <c r="AE255" s="1578"/>
      <c r="AJ255" s="1578"/>
      <c r="AK255" s="1580"/>
    </row>
    <row r="256" spans="3:37" s="1577" customFormat="1" hidden="1" x14ac:dyDescent="0.2">
      <c r="C256" s="1578"/>
      <c r="F256" s="1579" t="s">
        <v>4169</v>
      </c>
      <c r="G256" s="1580"/>
      <c r="H256" s="1602" t="e">
        <f>H251+H255</f>
        <v>#VALUE!</v>
      </c>
      <c r="I256" s="1579" t="s">
        <v>3703</v>
      </c>
      <c r="U256" s="1578"/>
      <c r="Z256" s="1579"/>
      <c r="AE256" s="1578"/>
      <c r="AJ256" s="1578"/>
      <c r="AK256" s="1580"/>
    </row>
    <row r="257" spans="3:37" s="1577" customFormat="1" ht="15" hidden="1" x14ac:dyDescent="0.25">
      <c r="C257" s="1578"/>
      <c r="F257" s="1579" t="s">
        <v>4170</v>
      </c>
      <c r="G257" s="1618"/>
      <c r="H257" s="1624">
        <v>40</v>
      </c>
      <c r="I257" s="1577" t="s">
        <v>3703</v>
      </c>
      <c r="U257" s="1578"/>
      <c r="Z257" s="1579"/>
      <c r="AE257" s="1578"/>
      <c r="AJ257" s="1578"/>
      <c r="AK257" s="1580"/>
    </row>
    <row r="258" spans="3:37" s="1577" customFormat="1" ht="15" hidden="1" x14ac:dyDescent="0.25">
      <c r="C258" s="1578"/>
      <c r="F258" s="1599" t="s">
        <v>4172</v>
      </c>
      <c r="G258" s="1618"/>
      <c r="H258" s="1622" t="str">
        <f>IF(OR(H255&gt;=40,H251&gt;=40),IF(H251&gt;=H255,0,H255),IF(AND(H255=40,H251=40),0,IF((H251+H255)&gt;40,40-H251,IF((H251+H255)&lt;=40,(H255)))))</f>
        <v/>
      </c>
      <c r="I258" s="1589" t="s">
        <v>3703</v>
      </c>
      <c r="L258" s="1584"/>
      <c r="M258" s="1584"/>
      <c r="U258" s="1578"/>
      <c r="Z258" s="1579"/>
      <c r="AE258" s="1578"/>
      <c r="AJ258" s="1578"/>
      <c r="AK258" s="1580"/>
    </row>
    <row r="259" spans="3:37" s="1577" customFormat="1" ht="15" hidden="1" x14ac:dyDescent="0.25">
      <c r="C259" s="1578"/>
      <c r="F259" s="1579" t="s">
        <v>4475</v>
      </c>
      <c r="G259" s="1618"/>
      <c r="H259" s="1623"/>
      <c r="L259" s="1584"/>
      <c r="M259" s="1584"/>
      <c r="U259" s="1578"/>
      <c r="Z259" s="1579"/>
      <c r="AE259" s="1578"/>
      <c r="AJ259" s="1578"/>
      <c r="AK259" s="1580"/>
    </row>
    <row r="260" spans="3:37" s="1577" customFormat="1" ht="15" hidden="1" x14ac:dyDescent="0.25">
      <c r="C260" s="1578"/>
      <c r="F260" s="1579"/>
      <c r="G260" s="1618"/>
      <c r="H260" s="1624"/>
      <c r="L260" s="1584"/>
      <c r="M260" s="1584"/>
      <c r="U260" s="1578"/>
      <c r="Z260" s="1579"/>
      <c r="AE260" s="1578"/>
      <c r="AJ260" s="1578"/>
      <c r="AK260" s="1580"/>
    </row>
    <row r="261" spans="3:37" s="1577" customFormat="1" ht="15" hidden="1" x14ac:dyDescent="0.25">
      <c r="C261" s="1578"/>
      <c r="F261" s="1589"/>
      <c r="G261" s="1618"/>
      <c r="H261" s="1622"/>
      <c r="I261" s="1589"/>
      <c r="L261" s="1584"/>
      <c r="M261" s="1584"/>
      <c r="U261" s="1578"/>
      <c r="Z261" s="1579"/>
      <c r="AE261" s="1578"/>
      <c r="AJ261" s="1578"/>
      <c r="AK261" s="1580"/>
    </row>
    <row r="262" spans="3:37" s="1577" customFormat="1" hidden="1" x14ac:dyDescent="0.2">
      <c r="C262" s="1578"/>
      <c r="G262" s="1578"/>
      <c r="H262" s="1588"/>
      <c r="L262" s="1584"/>
      <c r="M262" s="1584"/>
      <c r="U262" s="1578"/>
      <c r="Z262" s="1579"/>
      <c r="AE262" s="1578"/>
      <c r="AJ262" s="1578"/>
      <c r="AK262" s="1580"/>
    </row>
    <row r="263" spans="3:37" s="1577" customFormat="1" ht="15" hidden="1" x14ac:dyDescent="0.25">
      <c r="C263" s="1578"/>
      <c r="F263" s="1589" t="s">
        <v>3799</v>
      </c>
      <c r="G263" s="1578"/>
      <c r="H263" s="1625" t="str">
        <f>Due_org!$U$19</f>
        <v>Nein</v>
      </c>
      <c r="L263" s="1577" t="s">
        <v>3800</v>
      </c>
      <c r="M263" s="1584"/>
      <c r="U263" s="1578"/>
      <c r="Z263" s="1579"/>
      <c r="AE263" s="1578"/>
      <c r="AJ263" s="1578"/>
      <c r="AK263" s="1580"/>
    </row>
    <row r="264" spans="3:37" s="1577" customFormat="1" hidden="1" x14ac:dyDescent="0.2">
      <c r="C264" s="1578"/>
      <c r="G264" s="1578"/>
      <c r="H264" s="1626"/>
      <c r="U264" s="1578"/>
      <c r="Z264" s="1579"/>
      <c r="AE264" s="1578"/>
      <c r="AJ264" s="1578"/>
      <c r="AK264" s="1580"/>
    </row>
    <row r="265" spans="3:37" s="1577" customFormat="1" ht="15" hidden="1" x14ac:dyDescent="0.25">
      <c r="C265" s="1578"/>
      <c r="F265" s="1589" t="s">
        <v>3752</v>
      </c>
      <c r="G265" s="1578"/>
      <c r="U265" s="1578"/>
      <c r="Z265" s="1579"/>
      <c r="AE265" s="1578"/>
      <c r="AJ265" s="1578"/>
      <c r="AK265" s="1580"/>
    </row>
    <row r="266" spans="3:37" s="1577" customFormat="1" hidden="1" x14ac:dyDescent="0.2">
      <c r="C266" s="1578"/>
      <c r="F266" s="1577" t="s">
        <v>26</v>
      </c>
      <c r="G266" s="1578"/>
      <c r="H266" s="1588" t="str">
        <f>Due_org!$D$113</f>
        <v>keine organ./organ.-mineral. Düngung</v>
      </c>
      <c r="U266" s="1578"/>
      <c r="Z266" s="1579"/>
      <c r="AE266" s="1578"/>
      <c r="AJ266" s="1578"/>
      <c r="AK266" s="1580"/>
    </row>
    <row r="267" spans="3:37" s="1577" customFormat="1" hidden="1" x14ac:dyDescent="0.2">
      <c r="C267" s="1578"/>
      <c r="F267" s="1577" t="s">
        <v>3735</v>
      </c>
      <c r="G267" s="1578"/>
      <c r="H267" s="1577">
        <f>Due_org!$I$116</f>
        <v>0</v>
      </c>
      <c r="I267" s="1577">
        <f>Due_org!$H$113</f>
        <v>0</v>
      </c>
      <c r="U267" s="1578"/>
      <c r="Z267" s="1579"/>
      <c r="AE267" s="1578"/>
      <c r="AJ267" s="1578"/>
      <c r="AK267" s="1580"/>
    </row>
    <row r="268" spans="3:37" s="1577" customFormat="1" hidden="1" x14ac:dyDescent="0.2">
      <c r="C268" s="1578"/>
      <c r="F268" s="1577" t="s">
        <v>3746</v>
      </c>
      <c r="G268" s="1578"/>
      <c r="H268" s="1577">
        <f>Due_org!$I$119</f>
        <v>0</v>
      </c>
      <c r="I268" s="1577">
        <f>Due_org!$H$119</f>
        <v>0</v>
      </c>
      <c r="U268" s="1578"/>
      <c r="Z268" s="1579"/>
      <c r="AE268" s="1578"/>
      <c r="AJ268" s="1578"/>
      <c r="AK268" s="1580"/>
    </row>
    <row r="269" spans="3:37" s="1577" customFormat="1" hidden="1" x14ac:dyDescent="0.2">
      <c r="C269" s="1578"/>
      <c r="F269" s="1577" t="s">
        <v>3744</v>
      </c>
      <c r="G269" s="1578"/>
      <c r="H269" s="1577">
        <f>Due_org!$I$122</f>
        <v>0</v>
      </c>
      <c r="U269" s="1578"/>
      <c r="Z269" s="1579"/>
      <c r="AE269" s="1578"/>
      <c r="AJ269" s="1578"/>
      <c r="AK269" s="1580"/>
    </row>
    <row r="270" spans="3:37" s="1577" customFormat="1" ht="15" hidden="1" x14ac:dyDescent="0.25">
      <c r="C270" s="1578"/>
      <c r="F270" s="1589" t="s">
        <v>4149</v>
      </c>
      <c r="G270" s="1618"/>
      <c r="H270" s="1589">
        <f>IF(H228=0,0,ROUND(Due_org!$I$125,0))</f>
        <v>0</v>
      </c>
      <c r="I270" s="1589" t="s">
        <v>3703</v>
      </c>
      <c r="U270" s="1578"/>
      <c r="Z270" s="1579"/>
      <c r="AE270" s="1578"/>
      <c r="AJ270" s="1578"/>
      <c r="AK270" s="1580"/>
    </row>
    <row r="271" spans="3:37" s="1577" customFormat="1" ht="15" hidden="1" x14ac:dyDescent="0.25">
      <c r="C271" s="1578"/>
      <c r="F271" s="1589" t="s">
        <v>3811</v>
      </c>
      <c r="G271" s="1578"/>
      <c r="U271" s="1578"/>
      <c r="Z271" s="1579"/>
      <c r="AE271" s="1578"/>
      <c r="AJ271" s="1578"/>
      <c r="AK271" s="1580"/>
    </row>
    <row r="272" spans="3:37" s="1577" customFormat="1" hidden="1" x14ac:dyDescent="0.2">
      <c r="C272" s="1578"/>
      <c r="F272" s="1577" t="s">
        <v>26</v>
      </c>
      <c r="G272" s="1578"/>
      <c r="H272" s="1577" t="str">
        <f>Due_org!$D$129</f>
        <v>keine organ./organ.-mineral. Düngung</v>
      </c>
      <c r="U272" s="1578"/>
      <c r="Z272" s="1579"/>
      <c r="AE272" s="1578"/>
      <c r="AJ272" s="1578"/>
      <c r="AK272" s="1580"/>
    </row>
    <row r="273" spans="3:37" s="1577" customFormat="1" hidden="1" x14ac:dyDescent="0.2">
      <c r="C273" s="1578"/>
      <c r="F273" s="1577" t="s">
        <v>3735</v>
      </c>
      <c r="G273" s="1578"/>
      <c r="H273" s="1577">
        <f>Due_org!$I$132</f>
        <v>0</v>
      </c>
      <c r="I273" s="1577">
        <f>Due_org!$H$132</f>
        <v>0</v>
      </c>
      <c r="U273" s="1578"/>
      <c r="Z273" s="1579"/>
      <c r="AE273" s="1578"/>
      <c r="AJ273" s="1578"/>
      <c r="AK273" s="1580"/>
    </row>
    <row r="274" spans="3:37" s="1577" customFormat="1" hidden="1" x14ac:dyDescent="0.2">
      <c r="C274" s="1578"/>
      <c r="F274" s="1577" t="s">
        <v>3746</v>
      </c>
      <c r="G274" s="1578"/>
      <c r="H274" s="1577">
        <f>Due_org!$I$135</f>
        <v>0</v>
      </c>
      <c r="I274" s="1577">
        <f>Due_org!$H$135</f>
        <v>0</v>
      </c>
      <c r="U274" s="1578"/>
      <c r="Z274" s="1579"/>
      <c r="AE274" s="1578"/>
      <c r="AJ274" s="1578"/>
      <c r="AK274" s="1580"/>
    </row>
    <row r="275" spans="3:37" s="1577" customFormat="1" hidden="1" x14ac:dyDescent="0.2">
      <c r="C275" s="1578"/>
      <c r="F275" s="1577" t="s">
        <v>3742</v>
      </c>
      <c r="G275" s="1578"/>
      <c r="H275" s="1577">
        <f>Due_org!$I$137</f>
        <v>0</v>
      </c>
      <c r="I275" s="1577" t="s">
        <v>3703</v>
      </c>
      <c r="U275" s="1578"/>
      <c r="Z275" s="1579"/>
      <c r="AE275" s="1578"/>
      <c r="AJ275" s="1578"/>
      <c r="AK275" s="1580"/>
    </row>
    <row r="276" spans="3:37" s="1577" customFormat="1" hidden="1" x14ac:dyDescent="0.2">
      <c r="C276" s="1578"/>
      <c r="F276" s="1577" t="s">
        <v>3744</v>
      </c>
      <c r="G276" s="1578"/>
      <c r="H276" s="1577">
        <f>Due_org!$I$138</f>
        <v>0</v>
      </c>
      <c r="U276" s="1578"/>
      <c r="Z276" s="1579"/>
      <c r="AE276" s="1578"/>
      <c r="AJ276" s="1578"/>
      <c r="AK276" s="1580"/>
    </row>
    <row r="277" spans="3:37" s="1577" customFormat="1" ht="15" hidden="1" x14ac:dyDescent="0.25">
      <c r="C277" s="1578"/>
      <c r="F277" s="1589" t="s">
        <v>3747</v>
      </c>
      <c r="G277" s="1618"/>
      <c r="H277" s="1589">
        <f>IF(H228=0,0,ROUND(Due_org!$I$141*-1,0))</f>
        <v>0</v>
      </c>
      <c r="I277" s="1589" t="s">
        <v>3748</v>
      </c>
      <c r="U277" s="1578"/>
      <c r="Z277" s="1579"/>
      <c r="AE277" s="1578"/>
      <c r="AJ277" s="1578"/>
      <c r="AK277" s="1580"/>
    </row>
    <row r="278" spans="3:37" s="1577" customFormat="1" ht="15" hidden="1" x14ac:dyDescent="0.25">
      <c r="C278" s="1578"/>
      <c r="F278" s="1589" t="s">
        <v>4530</v>
      </c>
      <c r="G278" s="1578"/>
      <c r="U278" s="1578"/>
      <c r="Z278" s="1579"/>
      <c r="AE278" s="1578"/>
      <c r="AJ278" s="1578"/>
      <c r="AK278" s="1580"/>
    </row>
    <row r="279" spans="3:37" s="1577" customFormat="1" hidden="1" x14ac:dyDescent="0.2">
      <c r="C279" s="1578"/>
      <c r="F279" s="1577" t="s">
        <v>26</v>
      </c>
      <c r="G279" s="1578"/>
      <c r="H279" s="1577" t="str">
        <f>Due_org!$D$145</f>
        <v>keine Düngung mit Kompost</v>
      </c>
      <c r="U279" s="1578"/>
      <c r="Z279" s="1579"/>
      <c r="AE279" s="1578"/>
      <c r="AJ279" s="1578"/>
      <c r="AK279" s="1580"/>
    </row>
    <row r="280" spans="3:37" s="1577" customFormat="1" hidden="1" x14ac:dyDescent="0.2">
      <c r="C280" s="1578"/>
      <c r="F280" s="1577" t="s">
        <v>3735</v>
      </c>
      <c r="G280" s="1578"/>
      <c r="H280" s="1577">
        <f>Due_org!$I$148</f>
        <v>0</v>
      </c>
      <c r="I280" s="1577">
        <f>Due_org!$H$148</f>
        <v>0</v>
      </c>
      <c r="U280" s="1578"/>
      <c r="Z280" s="1579"/>
      <c r="AE280" s="1578"/>
      <c r="AJ280" s="1578"/>
      <c r="AK280" s="1580"/>
    </row>
    <row r="281" spans="3:37" s="1577" customFormat="1" hidden="1" x14ac:dyDescent="0.2">
      <c r="C281" s="1578"/>
      <c r="F281" s="1577" t="s">
        <v>3746</v>
      </c>
      <c r="G281" s="1578"/>
      <c r="H281" s="1577">
        <f>SUM(Due_org!$I$151:$K$151)</f>
        <v>0</v>
      </c>
      <c r="I281" s="1577">
        <f>Due_org!$H$151</f>
        <v>0</v>
      </c>
      <c r="U281" s="1578"/>
      <c r="Z281" s="1579"/>
      <c r="AE281" s="1578"/>
      <c r="AJ281" s="1578"/>
      <c r="AK281" s="1580"/>
    </row>
    <row r="282" spans="3:37" s="1577" customFormat="1" hidden="1" x14ac:dyDescent="0.2">
      <c r="C282" s="1578"/>
      <c r="F282" s="1577" t="s">
        <v>3742</v>
      </c>
      <c r="G282" s="1578"/>
      <c r="H282" s="1577">
        <f>SUM(Due_org!$I$153:$K$153)</f>
        <v>0</v>
      </c>
      <c r="I282" s="1577" t="s">
        <v>3703</v>
      </c>
      <c r="U282" s="1578"/>
      <c r="Z282" s="1579"/>
      <c r="AE282" s="1578"/>
      <c r="AJ282" s="1578"/>
      <c r="AK282" s="1580"/>
    </row>
    <row r="283" spans="3:37" s="1577" customFormat="1" hidden="1" x14ac:dyDescent="0.2">
      <c r="C283" s="1578"/>
      <c r="F283" s="1577" t="s">
        <v>3744</v>
      </c>
      <c r="G283" s="1578"/>
      <c r="H283" s="1583" t="e">
        <f>SUMPRODUCT(Due_org!$I$153:$K$153,Due_org!$I$154:$K$154)/SUM(Due_org!$I$153:$K$153)</f>
        <v>#DIV/0!</v>
      </c>
      <c r="U283" s="1578"/>
      <c r="Z283" s="1579"/>
      <c r="AE283" s="1578"/>
      <c r="AJ283" s="1578"/>
      <c r="AK283" s="1580"/>
    </row>
    <row r="284" spans="3:37" s="1577" customFormat="1" ht="15" hidden="1" x14ac:dyDescent="0.25">
      <c r="C284" s="1578"/>
      <c r="F284" s="1589" t="s">
        <v>4535</v>
      </c>
      <c r="G284" s="1618"/>
      <c r="H284" s="1589">
        <f>IF($H$228=0,0,ROUND(Due_org!$I$157*-1,0))</f>
        <v>0</v>
      </c>
      <c r="I284" s="1589" t="s">
        <v>3748</v>
      </c>
      <c r="U284" s="1578"/>
      <c r="Z284" s="1579"/>
      <c r="AE284" s="1578"/>
      <c r="AJ284" s="1578"/>
      <c r="AK284" s="1580"/>
    </row>
    <row r="285" spans="3:37" s="1577" customFormat="1" ht="15" hidden="1" x14ac:dyDescent="0.25">
      <c r="C285" s="1578"/>
      <c r="F285" s="1589"/>
      <c r="G285" s="1618"/>
      <c r="H285" s="1589"/>
      <c r="I285" s="1589"/>
      <c r="U285" s="1578"/>
      <c r="Z285" s="1579"/>
      <c r="AE285" s="1578"/>
      <c r="AJ285" s="1578"/>
      <c r="AK285" s="1580"/>
    </row>
    <row r="286" spans="3:37" s="1577" customFormat="1" ht="15" hidden="1" x14ac:dyDescent="0.25">
      <c r="C286" s="1578"/>
      <c r="F286" s="1589" t="s">
        <v>3751</v>
      </c>
      <c r="G286" s="1618"/>
      <c r="H286" s="1589">
        <f>-$H$270+$H$277+H284</f>
        <v>0</v>
      </c>
      <c r="I286" s="1589"/>
      <c r="U286" s="1578"/>
      <c r="Z286" s="1579"/>
      <c r="AE286" s="1578"/>
      <c r="AJ286" s="1578"/>
      <c r="AK286" s="1580"/>
    </row>
    <row r="287" spans="3:37" s="1577" customFormat="1" ht="15" hidden="1" x14ac:dyDescent="0.25">
      <c r="C287" s="1578"/>
      <c r="F287" s="1589"/>
      <c r="G287" s="1618"/>
      <c r="H287" s="1589"/>
      <c r="I287" s="1589"/>
      <c r="U287" s="1578"/>
      <c r="Z287" s="1579"/>
      <c r="AE287" s="1578"/>
      <c r="AJ287" s="1578"/>
      <c r="AK287" s="1580"/>
    </row>
    <row r="288" spans="3:37" s="1577" customFormat="1" ht="15" hidden="1" x14ac:dyDescent="0.25">
      <c r="C288" s="1578"/>
      <c r="F288" s="1589" t="s">
        <v>21</v>
      </c>
      <c r="G288" s="1618"/>
      <c r="H288" s="1620">
        <f>Humus!$F$25</f>
        <v>0</v>
      </c>
      <c r="I288" s="1589" t="s">
        <v>3459</v>
      </c>
      <c r="U288" s="1578"/>
      <c r="Z288" s="1579"/>
      <c r="AE288" s="1578"/>
      <c r="AJ288" s="1578"/>
      <c r="AK288" s="1580"/>
    </row>
    <row r="289" spans="3:37" s="1577" customFormat="1" ht="15" hidden="1" x14ac:dyDescent="0.25">
      <c r="C289" s="1578"/>
      <c r="F289" s="1589" t="s">
        <v>3774</v>
      </c>
      <c r="G289" s="1618"/>
      <c r="H289" s="1589">
        <f>IF(H235=0,0,Humus!$F$35)</f>
        <v>0</v>
      </c>
      <c r="I289" s="1589" t="s">
        <v>3309</v>
      </c>
      <c r="U289" s="1578"/>
      <c r="Z289" s="1579"/>
      <c r="AE289" s="1578"/>
      <c r="AJ289" s="1578"/>
      <c r="AK289" s="1580"/>
    </row>
    <row r="290" spans="3:37" s="1577" customFormat="1" hidden="1" x14ac:dyDescent="0.2">
      <c r="C290" s="1578"/>
      <c r="G290" s="1578"/>
      <c r="U290" s="1578"/>
      <c r="Z290" s="1579"/>
      <c r="AE290" s="1578"/>
      <c r="AJ290" s="1578"/>
      <c r="AK290" s="1580"/>
    </row>
    <row r="291" spans="3:37" s="1577" customFormat="1" hidden="1" x14ac:dyDescent="0.2">
      <c r="C291" s="1578"/>
      <c r="F291" s="1577" t="s">
        <v>3840</v>
      </c>
      <c r="G291" s="1578"/>
      <c r="I291" s="1577">
        <f>Due_org!H166</f>
        <v>0</v>
      </c>
      <c r="U291" s="1578"/>
      <c r="Z291" s="1579"/>
      <c r="AE291" s="1578"/>
      <c r="AJ291" s="1578"/>
      <c r="AK291" s="1580"/>
    </row>
    <row r="292" spans="3:37" s="1577" customFormat="1" hidden="1" x14ac:dyDescent="0.2">
      <c r="C292" s="1578"/>
      <c r="F292" s="1577" t="s">
        <v>26</v>
      </c>
      <c r="H292" s="1577" t="str">
        <f>Due_org!$D$165</f>
        <v>keine organ./organ.-mineral. Düngung</v>
      </c>
      <c r="U292" s="1578"/>
      <c r="Z292" s="1579"/>
      <c r="AE292" s="1578"/>
      <c r="AJ292" s="1578"/>
      <c r="AK292" s="1580"/>
    </row>
    <row r="293" spans="3:37" s="1577" customFormat="1" hidden="1" x14ac:dyDescent="0.2">
      <c r="C293" s="1578"/>
      <c r="F293" s="1577" t="s">
        <v>3735</v>
      </c>
      <c r="G293" s="1578"/>
      <c r="H293" s="1577">
        <f>Due_org!$I$168</f>
        <v>0</v>
      </c>
      <c r="I293" s="1577">
        <f>Due_org!$H$165</f>
        <v>0</v>
      </c>
      <c r="U293" s="1578"/>
      <c r="Z293" s="1579"/>
      <c r="AE293" s="1578"/>
      <c r="AJ293" s="1578"/>
      <c r="AK293" s="1580"/>
    </row>
    <row r="294" spans="3:37" s="1577" customFormat="1" hidden="1" x14ac:dyDescent="0.2">
      <c r="C294" s="1578"/>
      <c r="F294" s="1577" t="s">
        <v>3539</v>
      </c>
      <c r="G294" s="1578"/>
      <c r="H294" s="1577">
        <f>Due_org!$I$171</f>
        <v>0</v>
      </c>
      <c r="I294" s="1577">
        <f>Due_org!$H$171</f>
        <v>0</v>
      </c>
      <c r="U294" s="1578"/>
      <c r="Z294" s="1579"/>
      <c r="AE294" s="1578"/>
      <c r="AJ294" s="1578"/>
      <c r="AK294" s="1580"/>
    </row>
    <row r="295" spans="3:37" s="1577" customFormat="1" hidden="1" x14ac:dyDescent="0.2">
      <c r="C295" s="1578"/>
      <c r="F295" s="1577" t="s">
        <v>4136</v>
      </c>
      <c r="G295" s="1578"/>
      <c r="H295" s="1577">
        <f>Due_org!$I$174</f>
        <v>0</v>
      </c>
      <c r="I295" s="1577" t="s">
        <v>3703</v>
      </c>
      <c r="U295" s="1578"/>
      <c r="Z295" s="1579"/>
      <c r="AE295" s="1578"/>
      <c r="AJ295" s="1578"/>
      <c r="AK295" s="1580"/>
    </row>
    <row r="296" spans="3:37" s="1577" customFormat="1" hidden="1" x14ac:dyDescent="0.2">
      <c r="C296" s="1578"/>
      <c r="F296" s="1577" t="s">
        <v>4137</v>
      </c>
      <c r="G296" s="1578"/>
      <c r="H296" s="1577">
        <f>Due_org!$I$173</f>
        <v>0</v>
      </c>
      <c r="I296" s="1577" t="s">
        <v>3459</v>
      </c>
      <c r="M296" s="1584"/>
      <c r="U296" s="1578"/>
      <c r="Z296" s="1579"/>
      <c r="AE296" s="1578"/>
      <c r="AJ296" s="1578"/>
      <c r="AK296" s="1580"/>
    </row>
    <row r="297" spans="3:37" s="1577" customFormat="1" ht="15" hidden="1" x14ac:dyDescent="0.25">
      <c r="C297" s="1578"/>
      <c r="E297" s="1589"/>
      <c r="F297" s="1589" t="s">
        <v>3841</v>
      </c>
      <c r="G297" s="1618"/>
      <c r="H297" s="1589">
        <f>IF(H228=0,0,Due_org!I174)</f>
        <v>0</v>
      </c>
      <c r="I297" s="1589" t="s">
        <v>3703</v>
      </c>
      <c r="J297" s="1589"/>
      <c r="K297" s="1577" t="s">
        <v>4140</v>
      </c>
      <c r="M297" s="1584"/>
      <c r="U297" s="1578"/>
      <c r="Z297" s="1579"/>
      <c r="AE297" s="1578"/>
      <c r="AJ297" s="1578"/>
      <c r="AK297" s="1580"/>
    </row>
    <row r="298" spans="3:37" s="1577" customFormat="1" hidden="1" x14ac:dyDescent="0.2">
      <c r="C298" s="1578"/>
      <c r="G298" s="1578"/>
      <c r="M298" s="1584"/>
      <c r="U298" s="1578"/>
      <c r="Z298" s="1579"/>
      <c r="AE298" s="1578"/>
      <c r="AJ298" s="1578"/>
      <c r="AK298" s="1580"/>
    </row>
    <row r="299" spans="3:37" s="1577" customFormat="1" ht="15" hidden="1" x14ac:dyDescent="0.25">
      <c r="C299" s="1578"/>
      <c r="F299" s="1589" t="s">
        <v>4143</v>
      </c>
      <c r="G299" s="1578"/>
      <c r="H299" s="1577">
        <f>Due_org!$I$174</f>
        <v>0</v>
      </c>
      <c r="I299" s="1589" t="s">
        <v>3703</v>
      </c>
      <c r="K299" s="1577" t="s">
        <v>4144</v>
      </c>
      <c r="M299" s="1584"/>
      <c r="U299" s="1578"/>
      <c r="Z299" s="1579"/>
      <c r="AE299" s="1578"/>
      <c r="AJ299" s="1578"/>
      <c r="AK299" s="1580"/>
    </row>
    <row r="300" spans="3:37" s="1577" customFormat="1" hidden="1" x14ac:dyDescent="0.2">
      <c r="C300" s="1578"/>
      <c r="G300" s="1578"/>
      <c r="M300" s="1584"/>
      <c r="U300" s="1578"/>
      <c r="Z300" s="1579"/>
      <c r="AE300" s="1578"/>
      <c r="AJ300" s="1578"/>
      <c r="AK300" s="1580"/>
    </row>
    <row r="301" spans="3:37" s="1577" customFormat="1" hidden="1" x14ac:dyDescent="0.2">
      <c r="C301" s="1578"/>
      <c r="G301" s="1578"/>
      <c r="K301" s="1596"/>
      <c r="M301" s="1584"/>
      <c r="U301" s="1578"/>
      <c r="Z301" s="1579"/>
      <c r="AE301" s="1578"/>
      <c r="AJ301" s="1578"/>
      <c r="AK301" s="1580"/>
    </row>
    <row r="302" spans="3:37" s="1577" customFormat="1" ht="15" hidden="1" x14ac:dyDescent="0.25">
      <c r="C302" s="1578"/>
      <c r="F302" s="1589" t="s">
        <v>4268</v>
      </c>
      <c r="G302" s="1578"/>
      <c r="H302" s="1589">
        <f>IF(OR($H$228=0,AB_Eingabe!$M$68&lt;2),0,IF(AND(ISBLANK(AB_Eingabe!$F$72),AB_Eingabe!$M$72&gt;1,ISBLANK(AB_Eingabe!$J$72)),Kulturen!$H$303,IF(AND(AB_Eingabe!M72=1,ISBLANK(AB_Eingabe!F72),ISBLANK(AB_Eingabe!J72)),Kulturen!H303,AB_Eingabe!$J$72)))</f>
        <v>0</v>
      </c>
      <c r="I302" s="1589" t="s">
        <v>3703</v>
      </c>
      <c r="U302" s="1578"/>
      <c r="Z302" s="1579"/>
      <c r="AE302" s="1578"/>
      <c r="AJ302" s="1578"/>
      <c r="AK302" s="1580"/>
    </row>
    <row r="303" spans="3:37" s="1577" customFormat="1" ht="15" hidden="1" x14ac:dyDescent="0.25">
      <c r="C303" s="1578"/>
      <c r="F303" s="1627" t="s">
        <v>4145</v>
      </c>
      <c r="G303" s="1578"/>
      <c r="H303" s="1589">
        <v>40</v>
      </c>
      <c r="I303" s="1589" t="s">
        <v>3703</v>
      </c>
      <c r="J303" s="1589"/>
      <c r="K303" s="1594" t="s">
        <v>4425</v>
      </c>
      <c r="U303" s="1578"/>
      <c r="Z303" s="1579"/>
      <c r="AE303" s="1578"/>
      <c r="AJ303" s="1578"/>
      <c r="AK303" s="1580"/>
    </row>
    <row r="304" spans="3:37" s="1577" customFormat="1" hidden="1" x14ac:dyDescent="0.2">
      <c r="C304" s="1578"/>
      <c r="G304" s="1578"/>
      <c r="U304" s="1578"/>
      <c r="Z304" s="1579"/>
      <c r="AE304" s="1578"/>
      <c r="AJ304" s="1578"/>
      <c r="AK304" s="1580"/>
    </row>
    <row r="305" spans="3:37" s="1577" customFormat="1" ht="15" hidden="1" x14ac:dyDescent="0.25">
      <c r="C305" s="1578"/>
      <c r="F305" s="1589" t="s">
        <v>4139</v>
      </c>
      <c r="G305" s="1578"/>
      <c r="H305" s="1589">
        <f>IF(H228=0,0,AB_Eingabe!$G$35)</f>
        <v>0</v>
      </c>
      <c r="I305" s="1589" t="s">
        <v>3703</v>
      </c>
      <c r="U305" s="1578"/>
      <c r="Z305" s="1579"/>
      <c r="AE305" s="1578"/>
      <c r="AJ305" s="1578"/>
      <c r="AK305" s="1580"/>
    </row>
    <row r="306" spans="3:37" s="1577" customFormat="1" hidden="1" x14ac:dyDescent="0.2">
      <c r="C306" s="1578"/>
      <c r="G306" s="1578"/>
      <c r="U306" s="1578"/>
      <c r="Z306" s="1579"/>
      <c r="AE306" s="1578"/>
      <c r="AJ306" s="1578"/>
      <c r="AK306" s="1580"/>
    </row>
    <row r="307" spans="3:37" s="1577" customFormat="1" hidden="1" x14ac:dyDescent="0.2">
      <c r="C307" s="1578"/>
      <c r="G307" s="1578"/>
      <c r="U307" s="1578"/>
      <c r="Z307" s="1579"/>
      <c r="AE307" s="1578"/>
      <c r="AJ307" s="1578"/>
      <c r="AK307" s="1580"/>
    </row>
    <row r="308" spans="3:37" s="1577" customFormat="1" hidden="1" x14ac:dyDescent="0.2">
      <c r="C308" s="1578"/>
      <c r="E308" s="1577">
        <v>14</v>
      </c>
      <c r="F308" s="1577" t="s">
        <v>3493</v>
      </c>
      <c r="G308" s="1578"/>
      <c r="H308" s="1577">
        <f>IF(VLOOKUP(AB_Eingabe!$M$21,$E$12:$AP$94,AP8,FALSE)="nein",#N/A,VLOOKUP(AB_Eingabe!$M$21,$E$12:$AJ$94,$H$8,FALSE))</f>
        <v>0</v>
      </c>
      <c r="I308" s="1577" t="s">
        <v>3309</v>
      </c>
      <c r="U308" s="1578"/>
      <c r="Z308" s="1579"/>
      <c r="AE308" s="1578"/>
      <c r="AJ308" s="1578"/>
      <c r="AK308" s="1580"/>
    </row>
    <row r="309" spans="3:37" s="1577" customFormat="1" ht="15" hidden="1" x14ac:dyDescent="0.25">
      <c r="C309" s="1578"/>
      <c r="E309" s="1577">
        <v>15</v>
      </c>
      <c r="F309" s="1589" t="s">
        <v>3523</v>
      </c>
      <c r="G309" s="1578"/>
      <c r="H309" s="1623">
        <f>IF(H228=0,0,H308+H248)</f>
        <v>0</v>
      </c>
      <c r="I309" s="1589" t="s">
        <v>3309</v>
      </c>
      <c r="U309" s="1578"/>
      <c r="Z309" s="1579"/>
      <c r="AE309" s="1578"/>
      <c r="AJ309" s="1578"/>
      <c r="AK309" s="1580"/>
    </row>
    <row r="310" spans="3:37" s="1577" customFormat="1" ht="15" hidden="1" x14ac:dyDescent="0.25">
      <c r="C310" s="1578"/>
      <c r="F310" s="1589" t="s">
        <v>3700</v>
      </c>
      <c r="G310" s="1578"/>
      <c r="U310" s="1578"/>
      <c r="Z310" s="1579"/>
      <c r="AE310" s="1578"/>
      <c r="AJ310" s="1578"/>
      <c r="AK310" s="1580"/>
    </row>
    <row r="311" spans="3:37" s="1577" customFormat="1" hidden="1" x14ac:dyDescent="0.2">
      <c r="C311" s="1578"/>
      <c r="G311" s="1578"/>
      <c r="U311" s="1578"/>
      <c r="Z311" s="1579"/>
      <c r="AE311" s="1578"/>
      <c r="AJ311" s="1578"/>
      <c r="AK311" s="1580"/>
    </row>
    <row r="312" spans="3:37" s="1577" customFormat="1" ht="15" hidden="1" x14ac:dyDescent="0.25">
      <c r="C312" s="1578"/>
      <c r="F312" s="1589" t="s">
        <v>4155</v>
      </c>
      <c r="G312" s="1578" t="s">
        <v>4159</v>
      </c>
      <c r="H312" s="1589">
        <v>9</v>
      </c>
      <c r="I312" s="1589" t="s">
        <v>4160</v>
      </c>
      <c r="L312" s="1584" t="s">
        <v>4163</v>
      </c>
      <c r="U312" s="1578"/>
      <c r="Z312" s="1579"/>
      <c r="AE312" s="1578"/>
      <c r="AJ312" s="1578"/>
      <c r="AK312" s="1580"/>
    </row>
    <row r="313" spans="3:37" s="1577" customFormat="1" ht="15" hidden="1" x14ac:dyDescent="0.25">
      <c r="C313" s="1578"/>
      <c r="F313" s="1589"/>
      <c r="G313" s="1578"/>
      <c r="U313" s="1578"/>
      <c r="Z313" s="1579"/>
      <c r="AE313" s="1578"/>
      <c r="AJ313" s="1578"/>
      <c r="AK313" s="1580"/>
    </row>
    <row r="314" spans="3:37" s="1577" customFormat="1" hidden="1" x14ac:dyDescent="0.2">
      <c r="C314" s="1578"/>
      <c r="F314" s="1577" t="s">
        <v>13</v>
      </c>
      <c r="G314" s="1578"/>
      <c r="H314" s="1600">
        <f>H227</f>
        <v>1</v>
      </c>
      <c r="I314" s="1709">
        <f>IF(AND(AB_Eingabe!M21=59,Kulturen!AP70="nein"),0,IF(H314&gt;1,1,0))</f>
        <v>0</v>
      </c>
      <c r="J314" s="1577" t="s">
        <v>4156</v>
      </c>
      <c r="U314" s="1578"/>
      <c r="Z314" s="1579"/>
      <c r="AE314" s="1578"/>
      <c r="AJ314" s="1578"/>
      <c r="AK314" s="1580"/>
    </row>
    <row r="315" spans="3:37" s="1577" customFormat="1" hidden="1" x14ac:dyDescent="0.2">
      <c r="C315" s="1578"/>
      <c r="F315" s="1577" t="s">
        <v>4151</v>
      </c>
      <c r="G315" s="1578"/>
      <c r="H315" s="1583">
        <f>H234</f>
        <v>0</v>
      </c>
      <c r="I315" s="1601">
        <f>IF(H235="Nein",0,IF(H315&gt;0,1,0))</f>
        <v>0</v>
      </c>
      <c r="J315" s="1577" t="s">
        <v>4152</v>
      </c>
      <c r="O315" s="1584" t="s">
        <v>4281</v>
      </c>
      <c r="U315" s="1578"/>
      <c r="Z315" s="1579"/>
      <c r="AE315" s="1578"/>
      <c r="AJ315" s="1578"/>
      <c r="AK315" s="1580"/>
    </row>
    <row r="316" spans="3:37" s="1577" customFormat="1" hidden="1" x14ac:dyDescent="0.2">
      <c r="C316" s="1578"/>
      <c r="F316" s="1577" t="s">
        <v>3671</v>
      </c>
      <c r="G316" s="1578"/>
      <c r="H316" s="1577">
        <f>H249</f>
        <v>1</v>
      </c>
      <c r="I316" s="1601">
        <f>IF(H316&gt;1,1,0)</f>
        <v>0</v>
      </c>
      <c r="J316" s="1577" t="s">
        <v>4157</v>
      </c>
      <c r="U316" s="1578"/>
      <c r="Z316" s="1579"/>
      <c r="AE316" s="1578"/>
      <c r="AJ316" s="1578"/>
      <c r="AK316" s="1580"/>
    </row>
    <row r="317" spans="3:37" s="1577" customFormat="1" hidden="1" x14ac:dyDescent="0.2">
      <c r="C317" s="1578"/>
      <c r="F317" s="1577" t="s">
        <v>3738</v>
      </c>
      <c r="G317" s="1578"/>
      <c r="H317" s="1577">
        <f>H253</f>
        <v>2</v>
      </c>
      <c r="I317" s="1601">
        <f>IF(H317&gt;1,1,0)</f>
        <v>1</v>
      </c>
      <c r="J317" s="1577" t="s">
        <v>4158</v>
      </c>
      <c r="U317" s="1578"/>
      <c r="Z317" s="1579"/>
      <c r="AE317" s="1578"/>
      <c r="AJ317" s="1578"/>
      <c r="AK317" s="1580"/>
    </row>
    <row r="318" spans="3:37" s="1577" customFormat="1" hidden="1" x14ac:dyDescent="0.2">
      <c r="C318" s="1578"/>
      <c r="F318" s="1577" t="s">
        <v>4297</v>
      </c>
      <c r="G318" s="1578"/>
      <c r="H318" s="1600">
        <f>AB_Eingabe!M49</f>
        <v>1</v>
      </c>
      <c r="I318" s="1709">
        <f>IF(AND(ISBLANK(AB_Eingabe!$H$48),AB_Eingabe!$M$49&gt;1),0,IF(OR(AND(AB_Eingabe!M49=16,AND(AB_Eingabe!J48=0,Due_org!R27="Daten unvollständig")),AND(AB_Eingabe!M49=17,AND(AB_Eingabe!J48=0,Due_org!R28="Daten unvollständig")),AND(AB_Eingabe!M49=38,AND(AB_Eingabe!J48=0,Due_org!R49="Daten unvollständig")),AND(AB_Eingabe!M49=39,AND(AB_Eingabe!J48=0,Due_org!R50="Daten unvollständig")),AND(AB_Eingabe!M49=40,AND(AB_Eingabe!J48=0,Due_org!R51="Daten unvollständig")),AND(AB_Eingabe!M49=41,AND(AB_Eingabe!J48=0,Due_org!R52="Daten unvollständig")),AND(AB_Eingabe!M49=42,AND(AB_Eingabe!J48=0,Due_org!R53="Daten unvollständig")),AND(AB_Eingabe!M49=57,AND(AB_Eingabe!J48=0,Due_org!R68="Daten unvollständig")),AND(AB_Eingabe!M49=58,AND(AB_Eingabe!J48=0,Due_org!R69="Daten unvollständig"))),0,1))</f>
        <v>1</v>
      </c>
      <c r="U318" s="1578"/>
      <c r="Z318" s="1579"/>
      <c r="AE318" s="1578"/>
      <c r="AJ318" s="1578"/>
      <c r="AK318" s="1580"/>
    </row>
    <row r="319" spans="3:37" s="1577" customFormat="1" hidden="1" x14ac:dyDescent="0.2">
      <c r="C319" s="1578"/>
      <c r="F319" s="1577" t="s">
        <v>4298</v>
      </c>
      <c r="G319" s="1578"/>
      <c r="H319" s="1600">
        <f>AB_Eingabe!M52</f>
        <v>1</v>
      </c>
      <c r="I319" s="1709">
        <f>IF(AND(ISBLANK(AB_Eingabe!$H$52),AB_Eingabe!$M$52&gt;1),0,IF(OR(AND(AB_Eingabe!M52=16,AND(AB_Eingabe!J52=0,Due_org!R27="Daten unvollständig")),AND(AB_Eingabe!M52=17,AND(AB_Eingabe!J52=0,Due_org!R28="Daten unvollständig")),AND(AB_Eingabe!M52=38,AND(AB_Eingabe!J52=0,Due_org!R49="Daten unvollständig")),AND(AB_Eingabe!M52=39,AND(AB_Eingabe!J52=0,Due_org!R50="Daten unvollständig")),AND(AB_Eingabe!M52=40,AND(AB_Eingabe!J52=0,Due_org!R51="Daten unvollständig")),AND(AB_Eingabe!M52=41,AND(AB_Eingabe!J52=0,Due_org!R52="Daten unvollständig")),AND(AB_Eingabe!M52=42,AND(AB_Eingabe!J52=0,Due_org!R53="Daten unvollständig")),AND(AB_Eingabe!M52=57,AND(AB_Eingabe!J52=0,Due_org!R68="Daten unvollständig")),AND(AB_Eingabe!M52=58,AND(AB_Eingabe!J52=0,Due_org!R69="Daten unvollständig"))),0,1))</f>
        <v>1</v>
      </c>
      <c r="U319" s="1578"/>
      <c r="Z319" s="1579"/>
      <c r="AE319" s="1578"/>
      <c r="AJ319" s="1578"/>
      <c r="AK319" s="1580"/>
    </row>
    <row r="320" spans="3:37" s="1577" customFormat="1" hidden="1" x14ac:dyDescent="0.2">
      <c r="C320" s="1578"/>
      <c r="F320" s="1577" t="s">
        <v>4536</v>
      </c>
      <c r="G320" s="1578"/>
      <c r="H320" s="1600">
        <f>AB_Eingabe!M56</f>
        <v>4</v>
      </c>
      <c r="I320" s="1601">
        <f>IF(AND(OR(ISBLANK(AB_Eingabe!$F$56),ISBLANK(AB_Eingabe!$G$56),ISBLANK(AB_Eingabe!$H$56)),AB_Eingabe!$M$56&lt;4),0,1)</f>
        <v>1</v>
      </c>
      <c r="U320" s="1578"/>
      <c r="Z320" s="1579"/>
      <c r="AE320" s="1578"/>
      <c r="AJ320" s="1578"/>
      <c r="AK320" s="1580"/>
    </row>
    <row r="321" spans="3:37" s="1577" customFormat="1" hidden="1" x14ac:dyDescent="0.2">
      <c r="C321" s="1578"/>
      <c r="F321" s="1577" t="s">
        <v>4292</v>
      </c>
      <c r="G321" s="1578"/>
      <c r="H321" s="1577">
        <f>AB_Eingabe!G35</f>
        <v>0</v>
      </c>
      <c r="I321" s="1601">
        <f>IF(AB_Eingabe!G35="",0,IF(H321&gt;=0,1,0))</f>
        <v>0</v>
      </c>
      <c r="J321" s="1577" t="s">
        <v>4296</v>
      </c>
      <c r="Z321" s="1579"/>
      <c r="AE321" s="1578"/>
      <c r="AJ321" s="1578"/>
      <c r="AK321" s="1580"/>
    </row>
    <row r="322" spans="3:37" s="1577" customFormat="1" hidden="1" x14ac:dyDescent="0.2">
      <c r="C322" s="1578"/>
      <c r="F322" s="1577" t="s">
        <v>21</v>
      </c>
      <c r="G322" s="1578"/>
      <c r="H322" s="1602">
        <f>H288</f>
        <v>0</v>
      </c>
      <c r="I322" s="1601">
        <f>IF(H322&gt;0,1,0)</f>
        <v>0</v>
      </c>
      <c r="J322" s="1577" t="s">
        <v>4154</v>
      </c>
      <c r="U322" s="1578"/>
      <c r="Z322" s="1579"/>
      <c r="AE322" s="1578"/>
      <c r="AJ322" s="1578"/>
      <c r="AK322" s="1580"/>
    </row>
    <row r="323" spans="3:37" s="1577" customFormat="1" ht="15" hidden="1" x14ac:dyDescent="0.25">
      <c r="C323" s="1578"/>
      <c r="F323" s="1579"/>
      <c r="G323" s="1578"/>
      <c r="H323" s="1589" t="s">
        <v>3759</v>
      </c>
      <c r="I323" s="1603">
        <f>SUM(I314:I322)</f>
        <v>4</v>
      </c>
      <c r="U323" s="1578"/>
      <c r="Z323" s="1579"/>
      <c r="AE323" s="1578"/>
      <c r="AJ323" s="1578"/>
      <c r="AK323" s="1580"/>
    </row>
    <row r="324" spans="3:37" s="1577" customFormat="1" hidden="1" x14ac:dyDescent="0.2">
      <c r="C324" s="1578"/>
      <c r="G324" s="1578"/>
      <c r="H324" s="1604" t="s">
        <v>4161</v>
      </c>
      <c r="I324" s="1605">
        <f>H312-I323</f>
        <v>5</v>
      </c>
      <c r="U324" s="1578"/>
      <c r="Z324" s="1579"/>
      <c r="AE324" s="1578"/>
      <c r="AJ324" s="1578"/>
      <c r="AK324" s="1580"/>
    </row>
    <row r="325" spans="3:37" s="1572" customFormat="1" ht="15" hidden="1" x14ac:dyDescent="0.25">
      <c r="C325" s="1573"/>
      <c r="E325" s="1574" t="s">
        <v>4766</v>
      </c>
      <c r="F325" s="1574"/>
      <c r="G325" s="1573"/>
      <c r="L325" s="1666"/>
      <c r="U325" s="1573"/>
      <c r="Z325" s="1575"/>
      <c r="AE325" s="1573"/>
      <c r="AJ325" s="1573"/>
      <c r="AK325" s="1576"/>
    </row>
    <row r="326" spans="3:37" s="1577" customFormat="1" hidden="1" x14ac:dyDescent="0.2">
      <c r="C326" s="1578"/>
      <c r="G326" s="1578"/>
      <c r="U326" s="1578"/>
      <c r="Z326" s="1579"/>
      <c r="AE326" s="1578"/>
      <c r="AJ326" s="1578"/>
      <c r="AK326" s="1580"/>
    </row>
    <row r="327" spans="3:37" s="1577" customFormat="1" hidden="1" x14ac:dyDescent="0.2">
      <c r="C327" s="1578"/>
      <c r="F327" s="1577" t="s">
        <v>3701</v>
      </c>
      <c r="G327" s="1578"/>
      <c r="H327" s="1577">
        <f>VLOOKUP(AB_Eingabe!$M$21,$E$12:$AJ$94,$I$8,FALSE)</f>
        <v>0</v>
      </c>
      <c r="I327" s="1577" t="s">
        <v>3478</v>
      </c>
      <c r="U327" s="1578"/>
      <c r="Z327" s="1579"/>
      <c r="AE327" s="1578"/>
      <c r="AJ327" s="1578"/>
      <c r="AK327" s="1580"/>
    </row>
    <row r="328" spans="3:37" s="1577" customFormat="1" ht="15" hidden="1" x14ac:dyDescent="0.25">
      <c r="C328" s="1578"/>
      <c r="F328" s="1589" t="s">
        <v>3489</v>
      </c>
      <c r="G328" s="1618"/>
      <c r="H328" s="1620">
        <f>AB_Ergebnis!$F$20</f>
        <v>0</v>
      </c>
      <c r="I328" s="1589" t="s">
        <v>3479</v>
      </c>
      <c r="J328" s="1589"/>
      <c r="M328" s="1594"/>
      <c r="U328" s="1578"/>
      <c r="Z328" s="1579"/>
      <c r="AE328" s="1578"/>
      <c r="AJ328" s="1578"/>
      <c r="AK328" s="1580"/>
    </row>
    <row r="329" spans="3:37" s="1577" customFormat="1" hidden="1" x14ac:dyDescent="0.2">
      <c r="C329" s="1578"/>
      <c r="F329" s="1577" t="s">
        <v>4162</v>
      </c>
      <c r="G329" s="1578"/>
      <c r="H329" s="1583">
        <f>Ertraege_Duengemengen!D35</f>
        <v>0</v>
      </c>
      <c r="I329" s="1577" t="s">
        <v>3479</v>
      </c>
      <c r="M329" s="1594"/>
      <c r="U329" s="1578"/>
      <c r="Z329" s="1579"/>
      <c r="AE329" s="1578"/>
      <c r="AJ329" s="1578"/>
      <c r="AK329" s="1580"/>
    </row>
    <row r="330" spans="3:37" s="1577" customFormat="1" ht="15" hidden="1" x14ac:dyDescent="0.25">
      <c r="C330" s="1578"/>
      <c r="F330" s="1589" t="s">
        <v>3702</v>
      </c>
      <c r="G330" s="1618"/>
      <c r="H330" s="1620">
        <f>H327*H329</f>
        <v>0</v>
      </c>
      <c r="I330" s="1589" t="s">
        <v>3703</v>
      </c>
      <c r="U330" s="1578"/>
      <c r="Z330" s="1579"/>
      <c r="AE330" s="1578"/>
      <c r="AJ330" s="1578"/>
      <c r="AK330" s="1580"/>
    </row>
    <row r="331" spans="3:37" s="1577" customFormat="1" ht="15" hidden="1" x14ac:dyDescent="0.25">
      <c r="C331" s="1578"/>
      <c r="F331" s="1577" t="s">
        <v>4104</v>
      </c>
      <c r="G331" s="1578"/>
      <c r="H331" s="1620">
        <f>Ertraege_Duengemengen!D65</f>
        <v>0</v>
      </c>
      <c r="I331" s="1577" t="s">
        <v>3703</v>
      </c>
      <c r="U331" s="1578"/>
      <c r="Z331" s="1579"/>
      <c r="AE331" s="1578"/>
      <c r="AJ331" s="1578"/>
      <c r="AK331" s="1580"/>
    </row>
    <row r="332" spans="3:37" s="1577" customFormat="1" hidden="1" x14ac:dyDescent="0.2">
      <c r="C332" s="1578"/>
      <c r="G332" s="1578"/>
      <c r="U332" s="1578"/>
      <c r="Z332" s="1579"/>
      <c r="AE332" s="1578"/>
      <c r="AJ332" s="1578"/>
      <c r="AK332" s="1580"/>
    </row>
    <row r="333" spans="3:37" s="1577" customFormat="1" hidden="1" x14ac:dyDescent="0.2">
      <c r="C333" s="1578"/>
      <c r="F333" s="1577" t="s">
        <v>3704</v>
      </c>
      <c r="G333" s="1578"/>
      <c r="H333" s="1577">
        <f>VLOOKUP(AB_Eingabe!$M$21,$E$12:$AJ$94,$P$8,FALSE)</f>
        <v>0</v>
      </c>
      <c r="I333" s="1577" t="s">
        <v>3703</v>
      </c>
      <c r="U333" s="1578"/>
      <c r="Z333" s="1579"/>
      <c r="AE333" s="1578"/>
      <c r="AJ333" s="1578"/>
      <c r="AK333" s="1580"/>
    </row>
    <row r="334" spans="3:37" s="1577" customFormat="1" hidden="1" x14ac:dyDescent="0.2">
      <c r="C334" s="1578"/>
      <c r="G334" s="1578"/>
      <c r="U334" s="1578"/>
      <c r="Z334" s="1579"/>
      <c r="AE334" s="1578"/>
      <c r="AJ334" s="1578"/>
      <c r="AK334" s="1580"/>
    </row>
    <row r="335" spans="3:37" s="1577" customFormat="1" ht="15" hidden="1" x14ac:dyDescent="0.25">
      <c r="C335" s="1578"/>
      <c r="F335" s="1599" t="s">
        <v>3588</v>
      </c>
      <c r="G335" s="1578"/>
      <c r="H335" s="1577" t="str">
        <f>VLOOKUP(AB_Eingabe!M60,Vorfruechte!C23:L132,Vorfruechte!D2,FALSE)</f>
        <v>Sonstige Vorfrucht</v>
      </c>
      <c r="U335" s="1578"/>
      <c r="Z335" s="1579"/>
      <c r="AE335" s="1578"/>
      <c r="AJ335" s="1578"/>
      <c r="AK335" s="1580"/>
    </row>
    <row r="336" spans="3:37" s="1577" customFormat="1" hidden="1" x14ac:dyDescent="0.2">
      <c r="C336" s="1578"/>
      <c r="F336" s="1596" t="s">
        <v>3725</v>
      </c>
      <c r="G336" s="1578"/>
      <c r="H336" s="1581">
        <f>Vorfruechte!$E$153</f>
        <v>2</v>
      </c>
      <c r="U336" s="1578"/>
      <c r="Z336" s="1579"/>
      <c r="AE336" s="1578"/>
      <c r="AJ336" s="1578"/>
      <c r="AK336" s="1580"/>
    </row>
    <row r="337" spans="3:37" s="1577" customFormat="1" hidden="1" x14ac:dyDescent="0.2">
      <c r="C337" s="1578"/>
      <c r="F337" s="1596" t="s">
        <v>3726</v>
      </c>
      <c r="G337" s="1578"/>
      <c r="H337" s="1578" t="str">
        <f>Vorfruechte!$E$154</f>
        <v>Ja</v>
      </c>
      <c r="U337" s="1578"/>
      <c r="Z337" s="1579"/>
      <c r="AE337" s="1578"/>
      <c r="AJ337" s="1578"/>
      <c r="AK337" s="1580"/>
    </row>
    <row r="338" spans="3:37" s="1577" customFormat="1" ht="15" hidden="1" x14ac:dyDescent="0.25">
      <c r="C338" s="1578"/>
      <c r="F338" s="1599" t="s">
        <v>4171</v>
      </c>
      <c r="G338" s="1578"/>
      <c r="H338" s="1589">
        <f>Vorfruechte!F164</f>
        <v>10</v>
      </c>
      <c r="I338" s="1589" t="s">
        <v>3309</v>
      </c>
      <c r="U338" s="1578"/>
      <c r="Z338" s="1579"/>
      <c r="AE338" s="1578"/>
      <c r="AJ338" s="1578"/>
      <c r="AK338" s="1580"/>
    </row>
    <row r="339" spans="3:37" s="1577" customFormat="1" ht="15" hidden="1" x14ac:dyDescent="0.25">
      <c r="C339" s="1578"/>
      <c r="F339" s="1599" t="s">
        <v>4702</v>
      </c>
      <c r="G339" s="1578"/>
      <c r="H339" s="1577">
        <f>IF(OR(H341&gt;=40,H338&gt;=40),IF(H338&gt;=H341,H338,0),IF(AND(H341=40,H338=40),40,IF((H338+H341)&gt;40,H338,IF((H338+H341)&lt;=40,(H338)))))</f>
        <v>10</v>
      </c>
      <c r="U339" s="1578"/>
      <c r="Z339" s="1579"/>
      <c r="AE339" s="1578"/>
      <c r="AJ339" s="1578"/>
      <c r="AK339" s="1580"/>
    </row>
    <row r="340" spans="3:37" s="1577" customFormat="1" hidden="1" x14ac:dyDescent="0.2">
      <c r="C340" s="1578"/>
      <c r="F340" s="1596" t="s">
        <v>3589</v>
      </c>
      <c r="G340" s="1578"/>
      <c r="H340" s="1577" t="str">
        <f>Zwfru!E35</f>
        <v>Keine Zwischenfrucht vorhanden</v>
      </c>
      <c r="U340" s="1578"/>
      <c r="Z340" s="1579"/>
      <c r="AE340" s="1578"/>
      <c r="AJ340" s="1578"/>
      <c r="AK340" s="1580"/>
    </row>
    <row r="341" spans="3:37" s="1577" customFormat="1" ht="15" hidden="1" x14ac:dyDescent="0.25">
      <c r="C341" s="1578"/>
      <c r="F341" s="1599" t="s">
        <v>3734</v>
      </c>
      <c r="G341" s="1618"/>
      <c r="H341" s="1589">
        <f>Zwfru!G49</f>
        <v>0</v>
      </c>
      <c r="I341" s="1589" t="s">
        <v>3703</v>
      </c>
      <c r="U341" s="1578"/>
      <c r="Z341" s="1579"/>
      <c r="AE341" s="1578"/>
      <c r="AJ341" s="1578"/>
      <c r="AK341" s="1580"/>
    </row>
    <row r="342" spans="3:37" s="1577" customFormat="1" hidden="1" x14ac:dyDescent="0.2">
      <c r="C342" s="1578"/>
      <c r="F342" s="1579" t="s">
        <v>4169</v>
      </c>
      <c r="G342" s="1580"/>
      <c r="H342" s="1602">
        <f>H338+H341</f>
        <v>10</v>
      </c>
      <c r="I342" s="1579" t="s">
        <v>3703</v>
      </c>
      <c r="U342" s="1578"/>
      <c r="Z342" s="1579"/>
      <c r="AE342" s="1578"/>
      <c r="AJ342" s="1578"/>
      <c r="AK342" s="1580"/>
    </row>
    <row r="343" spans="3:37" s="1577" customFormat="1" ht="15" hidden="1" x14ac:dyDescent="0.25">
      <c r="C343" s="1578"/>
      <c r="F343" s="1579" t="s">
        <v>4170</v>
      </c>
      <c r="G343" s="1618"/>
      <c r="H343" s="1624">
        <v>40</v>
      </c>
      <c r="I343" s="1577" t="s">
        <v>3703</v>
      </c>
      <c r="U343" s="1578"/>
      <c r="Z343" s="1579"/>
      <c r="AE343" s="1578"/>
      <c r="AJ343" s="1578"/>
      <c r="AK343" s="1580"/>
    </row>
    <row r="344" spans="3:37" s="1577" customFormat="1" ht="15" hidden="1" x14ac:dyDescent="0.25">
      <c r="C344" s="1578"/>
      <c r="F344" s="1599" t="s">
        <v>4172</v>
      </c>
      <c r="G344" s="1618"/>
      <c r="H344" s="1622">
        <f>IF(OR(H341&gt;=40,H338&gt;=40),IF(H338&gt;=H341,0,H341),IF(AND(H341=40,H338=40),0,IF((H338+H341)&gt;40,40-H338,IF((H338+H341)&lt;=40,(H341)))))</f>
        <v>0</v>
      </c>
      <c r="I344" s="1589" t="s">
        <v>3703</v>
      </c>
      <c r="U344" s="1578"/>
      <c r="Z344" s="1579"/>
      <c r="AE344" s="1578"/>
      <c r="AJ344" s="1578"/>
      <c r="AK344" s="1580"/>
    </row>
    <row r="345" spans="3:37" s="1577" customFormat="1" ht="15" hidden="1" x14ac:dyDescent="0.25">
      <c r="C345" s="1578"/>
      <c r="F345" s="1579" t="s">
        <v>4173</v>
      </c>
      <c r="G345" s="1618"/>
      <c r="H345" s="1623"/>
      <c r="U345" s="1578"/>
      <c r="Z345" s="1579"/>
      <c r="AE345" s="1578"/>
      <c r="AJ345" s="1578"/>
      <c r="AK345" s="1580"/>
    </row>
    <row r="346" spans="3:37" s="1577" customFormat="1" hidden="1" x14ac:dyDescent="0.2">
      <c r="C346" s="1578"/>
      <c r="F346" s="1596"/>
      <c r="G346" s="1578"/>
      <c r="U346" s="1578"/>
      <c r="Z346" s="1579"/>
      <c r="AE346" s="1578"/>
      <c r="AJ346" s="1578"/>
      <c r="AK346" s="1580"/>
    </row>
    <row r="347" spans="3:37" s="1577" customFormat="1" hidden="1" x14ac:dyDescent="0.2">
      <c r="C347" s="1578"/>
      <c r="F347" s="1596"/>
      <c r="G347" s="1578"/>
      <c r="U347" s="1578"/>
      <c r="Z347" s="1579"/>
      <c r="AE347" s="1578"/>
      <c r="AJ347" s="1578"/>
      <c r="AK347" s="1580"/>
    </row>
    <row r="348" spans="3:37" s="1577" customFormat="1" hidden="1" x14ac:dyDescent="0.2">
      <c r="C348" s="1578"/>
      <c r="F348" s="1596"/>
      <c r="G348" s="1578"/>
      <c r="U348" s="1578"/>
      <c r="Z348" s="1579"/>
      <c r="AE348" s="1578"/>
      <c r="AJ348" s="1578"/>
      <c r="AK348" s="1580"/>
    </row>
    <row r="349" spans="3:37" s="1577" customFormat="1" hidden="1" x14ac:dyDescent="0.2">
      <c r="C349" s="1578"/>
      <c r="F349" s="1596"/>
      <c r="G349" s="1578"/>
      <c r="U349" s="1578"/>
      <c r="Z349" s="1579"/>
      <c r="AE349" s="1578"/>
      <c r="AJ349" s="1578"/>
      <c r="AK349" s="1580"/>
    </row>
    <row r="350" spans="3:37" s="1577" customFormat="1" ht="15" hidden="1" x14ac:dyDescent="0.25">
      <c r="C350" s="1578"/>
      <c r="F350" s="1589" t="s">
        <v>3799</v>
      </c>
      <c r="G350" s="1578"/>
      <c r="H350" s="1625" t="str">
        <f>Due_org!$U$19</f>
        <v>Nein</v>
      </c>
      <c r="L350" s="1577" t="s">
        <v>3800</v>
      </c>
      <c r="M350" s="1584"/>
      <c r="U350" s="1578"/>
      <c r="Z350" s="1579"/>
      <c r="AE350" s="1578"/>
      <c r="AJ350" s="1578"/>
      <c r="AK350" s="1580"/>
    </row>
    <row r="351" spans="3:37" s="1577" customFormat="1" hidden="1" x14ac:dyDescent="0.2">
      <c r="C351" s="1578"/>
      <c r="G351" s="1578"/>
      <c r="U351" s="1578"/>
      <c r="Z351" s="1579"/>
      <c r="AE351" s="1578"/>
      <c r="AJ351" s="1578"/>
      <c r="AK351" s="1580"/>
    </row>
    <row r="352" spans="3:37" s="1577" customFormat="1" ht="15" hidden="1" x14ac:dyDescent="0.25">
      <c r="C352" s="1578"/>
      <c r="F352" s="1589" t="s">
        <v>3752</v>
      </c>
      <c r="G352" s="1578"/>
      <c r="U352" s="1578"/>
      <c r="Z352" s="1579"/>
      <c r="AE352" s="1578"/>
      <c r="AJ352" s="1578"/>
      <c r="AK352" s="1580"/>
    </row>
    <row r="353" spans="3:37" s="1577" customFormat="1" hidden="1" x14ac:dyDescent="0.2">
      <c r="C353" s="1578"/>
      <c r="F353" s="1577" t="s">
        <v>26</v>
      </c>
      <c r="G353" s="1578"/>
      <c r="H353" s="1588" t="str">
        <f>Due_org!$D$113</f>
        <v>keine organ./organ.-mineral. Düngung</v>
      </c>
      <c r="U353" s="1578"/>
      <c r="Z353" s="1579"/>
      <c r="AE353" s="1578"/>
      <c r="AJ353" s="1578"/>
      <c r="AK353" s="1580"/>
    </row>
    <row r="354" spans="3:37" s="1577" customFormat="1" hidden="1" x14ac:dyDescent="0.2">
      <c r="C354" s="1578"/>
      <c r="F354" s="1577" t="s">
        <v>3735</v>
      </c>
      <c r="G354" s="1578"/>
      <c r="H354" s="1577">
        <f>Due_org!$I$116</f>
        <v>0</v>
      </c>
      <c r="I354" s="1577">
        <f>Due_org!$H$113</f>
        <v>0</v>
      </c>
      <c r="U354" s="1578"/>
      <c r="Z354" s="1579"/>
      <c r="AE354" s="1578"/>
      <c r="AJ354" s="1578"/>
      <c r="AK354" s="1580"/>
    </row>
    <row r="355" spans="3:37" s="1577" customFormat="1" hidden="1" x14ac:dyDescent="0.2">
      <c r="C355" s="1578"/>
      <c r="F355" s="1628" t="s">
        <v>3829</v>
      </c>
      <c r="G355" s="1578"/>
      <c r="H355" s="1577">
        <f>Due_org!K116</f>
        <v>0</v>
      </c>
      <c r="I355" s="1577">
        <f>Due_org!$H$113</f>
        <v>0</v>
      </c>
      <c r="U355" s="1578"/>
      <c r="Z355" s="1579"/>
      <c r="AE355" s="1578"/>
      <c r="AJ355" s="1578"/>
      <c r="AK355" s="1580"/>
    </row>
    <row r="356" spans="3:37" s="1577" customFormat="1" hidden="1" x14ac:dyDescent="0.2">
      <c r="C356" s="1578"/>
      <c r="F356" s="1628" t="s">
        <v>3830</v>
      </c>
      <c r="G356" s="1578"/>
      <c r="H356" s="1577">
        <f>Due_org!L116</f>
        <v>0</v>
      </c>
      <c r="I356" s="1577">
        <f>Due_org!$H$113</f>
        <v>0</v>
      </c>
      <c r="U356" s="1578"/>
      <c r="Z356" s="1579"/>
      <c r="AE356" s="1578"/>
      <c r="AJ356" s="1578"/>
      <c r="AK356" s="1580"/>
    </row>
    <row r="357" spans="3:37" s="1577" customFormat="1" hidden="1" x14ac:dyDescent="0.2">
      <c r="C357" s="1578"/>
      <c r="F357" s="1628" t="s">
        <v>3831</v>
      </c>
      <c r="G357" s="1578"/>
      <c r="H357" s="1577">
        <f>Due_org!M116</f>
        <v>0</v>
      </c>
      <c r="U357" s="1578"/>
      <c r="Z357" s="1579"/>
      <c r="AE357" s="1578"/>
      <c r="AJ357" s="1578"/>
      <c r="AK357" s="1580"/>
    </row>
    <row r="358" spans="3:37" s="1577" customFormat="1" hidden="1" x14ac:dyDescent="0.2">
      <c r="C358" s="1578"/>
      <c r="F358" s="1577" t="s">
        <v>3746</v>
      </c>
      <c r="G358" s="1578"/>
      <c r="H358" s="1577">
        <f>Due_org!$I$119</f>
        <v>0</v>
      </c>
      <c r="I358" s="1577">
        <f>Due_org!$H$119</f>
        <v>0</v>
      </c>
      <c r="U358" s="1578"/>
      <c r="Z358" s="1579"/>
      <c r="AE358" s="1578"/>
      <c r="AJ358" s="1578"/>
      <c r="AK358" s="1580"/>
    </row>
    <row r="359" spans="3:37" s="1577" customFormat="1" hidden="1" x14ac:dyDescent="0.2">
      <c r="C359" s="1578"/>
      <c r="F359" s="1577" t="s">
        <v>3744</v>
      </c>
      <c r="G359" s="1578"/>
      <c r="H359" s="1577">
        <f>Due_org!$I$122</f>
        <v>0</v>
      </c>
      <c r="U359" s="1578"/>
      <c r="Z359" s="1579"/>
      <c r="AE359" s="1578"/>
      <c r="AJ359" s="1578"/>
      <c r="AK359" s="1580"/>
    </row>
    <row r="360" spans="3:37" s="1577" customFormat="1" ht="15" hidden="1" x14ac:dyDescent="0.25">
      <c r="C360" s="1578"/>
      <c r="F360" s="1589" t="s">
        <v>3745</v>
      </c>
      <c r="G360" s="1618"/>
      <c r="H360" s="1589">
        <f>IF(H227=1,0,Due_org!$I$125)</f>
        <v>0</v>
      </c>
      <c r="I360" s="1589" t="s">
        <v>3703</v>
      </c>
      <c r="U360" s="1578"/>
      <c r="Z360" s="1579"/>
      <c r="AE360" s="1578"/>
      <c r="AJ360" s="1578"/>
      <c r="AK360" s="1580"/>
    </row>
    <row r="361" spans="3:37" s="1577" customFormat="1" hidden="1" x14ac:dyDescent="0.2">
      <c r="C361" s="1578"/>
      <c r="F361" s="1628" t="s">
        <v>3832</v>
      </c>
      <c r="G361" s="1578"/>
      <c r="H361" s="1577">
        <f>Due_org!K121</f>
        <v>0</v>
      </c>
      <c r="I361" s="1577" t="s">
        <v>3703</v>
      </c>
      <c r="U361" s="1578"/>
      <c r="Z361" s="1579"/>
      <c r="AE361" s="1578"/>
      <c r="AJ361" s="1578"/>
      <c r="AK361" s="1580"/>
    </row>
    <row r="362" spans="3:37" s="1577" customFormat="1" hidden="1" x14ac:dyDescent="0.2">
      <c r="C362" s="1578"/>
      <c r="F362" s="1628" t="s">
        <v>3833</v>
      </c>
      <c r="G362" s="1578"/>
      <c r="H362" s="1577">
        <f>Due_org!L121</f>
        <v>0</v>
      </c>
      <c r="I362" s="1577" t="s">
        <v>3703</v>
      </c>
      <c r="U362" s="1578"/>
      <c r="Z362" s="1579"/>
      <c r="AE362" s="1578"/>
      <c r="AJ362" s="1578"/>
      <c r="AK362" s="1580"/>
    </row>
    <row r="363" spans="3:37" s="1577" customFormat="1" hidden="1" x14ac:dyDescent="0.2">
      <c r="C363" s="1578"/>
      <c r="F363" s="1628" t="s">
        <v>3834</v>
      </c>
      <c r="G363" s="1578"/>
      <c r="H363" s="1577">
        <f>Due_org!M121</f>
        <v>0</v>
      </c>
      <c r="I363" s="1577" t="s">
        <v>3703</v>
      </c>
      <c r="U363" s="1578"/>
      <c r="Z363" s="1579"/>
      <c r="AE363" s="1578"/>
      <c r="AJ363" s="1578"/>
      <c r="AK363" s="1580"/>
    </row>
    <row r="364" spans="3:37" s="1577" customFormat="1" ht="15" hidden="1" x14ac:dyDescent="0.25">
      <c r="C364" s="1578"/>
      <c r="F364" s="1589" t="s">
        <v>3743</v>
      </c>
      <c r="G364" s="1578"/>
      <c r="U364" s="1578"/>
      <c r="Z364" s="1579"/>
      <c r="AE364" s="1578"/>
      <c r="AJ364" s="1578"/>
      <c r="AK364" s="1580"/>
    </row>
    <row r="365" spans="3:37" s="1577" customFormat="1" hidden="1" x14ac:dyDescent="0.2">
      <c r="C365" s="1578"/>
      <c r="F365" s="1577" t="s">
        <v>26</v>
      </c>
      <c r="G365" s="1578"/>
      <c r="H365" s="1577" t="str">
        <f>Due_org!$D$129</f>
        <v>keine organ./organ.-mineral. Düngung</v>
      </c>
      <c r="U365" s="1578"/>
      <c r="Z365" s="1579"/>
      <c r="AE365" s="1578"/>
      <c r="AJ365" s="1578"/>
      <c r="AK365" s="1580"/>
    </row>
    <row r="366" spans="3:37" s="1577" customFormat="1" hidden="1" x14ac:dyDescent="0.2">
      <c r="C366" s="1578"/>
      <c r="F366" s="1577" t="s">
        <v>3735</v>
      </c>
      <c r="G366" s="1578"/>
      <c r="H366" s="1577">
        <f>Due_org!$I$132</f>
        <v>0</v>
      </c>
      <c r="I366" s="1577">
        <f>Due_org!$H$132</f>
        <v>0</v>
      </c>
      <c r="U366" s="1578"/>
      <c r="Z366" s="1579"/>
      <c r="AE366" s="1578"/>
      <c r="AJ366" s="1578"/>
      <c r="AK366" s="1580"/>
    </row>
    <row r="367" spans="3:37" s="1577" customFormat="1" hidden="1" x14ac:dyDescent="0.2">
      <c r="C367" s="1578"/>
      <c r="F367" s="1577" t="s">
        <v>3746</v>
      </c>
      <c r="G367" s="1578"/>
      <c r="H367" s="1577">
        <f>Due_org!$I$135</f>
        <v>0</v>
      </c>
      <c r="I367" s="1577">
        <f>Due_org!$H$135</f>
        <v>0</v>
      </c>
      <c r="U367" s="1578"/>
      <c r="Z367" s="1579"/>
      <c r="AE367" s="1578"/>
      <c r="AJ367" s="1578"/>
      <c r="AK367" s="1580"/>
    </row>
    <row r="368" spans="3:37" s="1577" customFormat="1" hidden="1" x14ac:dyDescent="0.2">
      <c r="C368" s="1578"/>
      <c r="F368" s="1577" t="s">
        <v>3742</v>
      </c>
      <c r="G368" s="1578"/>
      <c r="H368" s="1577">
        <f>Due_org!$I$137</f>
        <v>0</v>
      </c>
      <c r="I368" s="1577" t="s">
        <v>3703</v>
      </c>
      <c r="U368" s="1578"/>
      <c r="Z368" s="1579"/>
      <c r="AE368" s="1578"/>
      <c r="AJ368" s="1578"/>
      <c r="AK368" s="1580"/>
    </row>
    <row r="369" spans="3:37" s="1577" customFormat="1" hidden="1" x14ac:dyDescent="0.2">
      <c r="C369" s="1578"/>
      <c r="F369" s="1577" t="s">
        <v>3744</v>
      </c>
      <c r="G369" s="1578"/>
      <c r="H369" s="1577">
        <f>Due_org!$I$138</f>
        <v>0</v>
      </c>
      <c r="U369" s="1578"/>
      <c r="Z369" s="1579"/>
      <c r="AE369" s="1578"/>
      <c r="AJ369" s="1578"/>
      <c r="AK369" s="1580"/>
    </row>
    <row r="370" spans="3:37" s="1577" customFormat="1" ht="15" hidden="1" x14ac:dyDescent="0.25">
      <c r="C370" s="1578"/>
      <c r="F370" s="1589" t="s">
        <v>3747</v>
      </c>
      <c r="G370" s="1618"/>
      <c r="H370" s="1589">
        <f>IF(H227=1,0,Due_org!$I$141*-1)</f>
        <v>0</v>
      </c>
      <c r="I370" s="1589" t="s">
        <v>3748</v>
      </c>
      <c r="U370" s="1578"/>
      <c r="Z370" s="1579"/>
      <c r="AE370" s="1578"/>
      <c r="AJ370" s="1578"/>
      <c r="AK370" s="1580"/>
    </row>
    <row r="371" spans="3:37" s="1577" customFormat="1" ht="15" hidden="1" x14ac:dyDescent="0.25">
      <c r="C371" s="1578"/>
      <c r="F371" s="1589" t="s">
        <v>4530</v>
      </c>
      <c r="G371" s="1578"/>
      <c r="U371" s="1578"/>
      <c r="Z371" s="1579"/>
      <c r="AE371" s="1578"/>
      <c r="AJ371" s="1578"/>
      <c r="AK371" s="1580"/>
    </row>
    <row r="372" spans="3:37" s="1577" customFormat="1" hidden="1" x14ac:dyDescent="0.2">
      <c r="C372" s="1578"/>
      <c r="F372" s="1577" t="s">
        <v>26</v>
      </c>
      <c r="G372" s="1578"/>
      <c r="H372" s="1577" t="str">
        <f>Due_org!$D$145</f>
        <v>keine Düngung mit Kompost</v>
      </c>
      <c r="U372" s="1578"/>
      <c r="Z372" s="1579"/>
      <c r="AE372" s="1578"/>
      <c r="AJ372" s="1578"/>
      <c r="AK372" s="1580"/>
    </row>
    <row r="373" spans="3:37" s="1577" customFormat="1" hidden="1" x14ac:dyDescent="0.2">
      <c r="C373" s="1578"/>
      <c r="F373" s="1577" t="s">
        <v>3735</v>
      </c>
      <c r="G373" s="1578"/>
      <c r="H373" s="1577">
        <f>Due_org!$I$148</f>
        <v>0</v>
      </c>
      <c r="I373" s="1577">
        <f>Due_org!$H$148</f>
        <v>0</v>
      </c>
      <c r="U373" s="1578"/>
      <c r="Z373" s="1579"/>
      <c r="AE373" s="1578"/>
      <c r="AJ373" s="1578"/>
      <c r="AK373" s="1580"/>
    </row>
    <row r="374" spans="3:37" s="1577" customFormat="1" hidden="1" x14ac:dyDescent="0.2">
      <c r="C374" s="1578"/>
      <c r="F374" s="1577" t="s">
        <v>3746</v>
      </c>
      <c r="G374" s="1578"/>
      <c r="H374" s="1577">
        <f>SUM(Due_org!$I$152:$K$152)</f>
        <v>0</v>
      </c>
      <c r="I374" s="1577">
        <f>Due_org!$H$151</f>
        <v>0</v>
      </c>
      <c r="U374" s="1578"/>
      <c r="Z374" s="1579"/>
      <c r="AE374" s="1578"/>
      <c r="AJ374" s="1578"/>
      <c r="AK374" s="1580"/>
    </row>
    <row r="375" spans="3:37" s="1577" customFormat="1" hidden="1" x14ac:dyDescent="0.2">
      <c r="C375" s="1578"/>
      <c r="F375" s="1577" t="s">
        <v>3742</v>
      </c>
      <c r="G375" s="1578"/>
      <c r="H375" s="1577">
        <f>SUM(Due_org!$I$153:$K$153)</f>
        <v>0</v>
      </c>
      <c r="I375" s="1577" t="s">
        <v>3703</v>
      </c>
      <c r="U375" s="1578"/>
      <c r="Z375" s="1579"/>
      <c r="AE375" s="1578"/>
      <c r="AJ375" s="1578"/>
      <c r="AK375" s="1580"/>
    </row>
    <row r="376" spans="3:37" s="1577" customFormat="1" hidden="1" x14ac:dyDescent="0.2">
      <c r="C376" s="1578"/>
      <c r="F376" s="1577" t="s">
        <v>3744</v>
      </c>
      <c r="G376" s="1578"/>
      <c r="H376" s="1583" t="e">
        <f>SUMPRODUCT(Due_org!$I$153:$K$153,Due_org!$I$154:$K$154)/SUM(Due_org!$I$153:$K$153)</f>
        <v>#DIV/0!</v>
      </c>
      <c r="U376" s="1578"/>
      <c r="Z376" s="1579"/>
      <c r="AE376" s="1578"/>
      <c r="AJ376" s="1578"/>
      <c r="AK376" s="1580"/>
    </row>
    <row r="377" spans="3:37" s="1577" customFormat="1" ht="15" hidden="1" x14ac:dyDescent="0.25">
      <c r="C377" s="1578"/>
      <c r="F377" s="1589" t="s">
        <v>4535</v>
      </c>
      <c r="G377" s="1618"/>
      <c r="H377" s="1589">
        <f>IF($H$228=0,0,ROUND(Due_org!$I$157*-1,0))</f>
        <v>0</v>
      </c>
      <c r="I377" s="1589" t="s">
        <v>3748</v>
      </c>
      <c r="U377" s="1578"/>
      <c r="Z377" s="1579"/>
      <c r="AE377" s="1578"/>
      <c r="AJ377" s="1578"/>
      <c r="AK377" s="1580"/>
    </row>
    <row r="378" spans="3:37" s="1577" customFormat="1" hidden="1" x14ac:dyDescent="0.2">
      <c r="C378" s="1578"/>
      <c r="G378" s="1578"/>
      <c r="U378" s="1578"/>
      <c r="Z378" s="1579"/>
      <c r="AE378" s="1578"/>
      <c r="AJ378" s="1578"/>
      <c r="AK378" s="1580"/>
    </row>
    <row r="379" spans="3:37" s="1577" customFormat="1" ht="15" hidden="1" x14ac:dyDescent="0.25">
      <c r="C379" s="1578"/>
      <c r="F379" s="1589" t="s">
        <v>3751</v>
      </c>
      <c r="G379" s="1578"/>
      <c r="H379" s="1577">
        <f>H360+H370+H377</f>
        <v>0</v>
      </c>
      <c r="U379" s="1578"/>
      <c r="Z379" s="1579"/>
      <c r="AE379" s="1578"/>
      <c r="AJ379" s="1578"/>
      <c r="AK379" s="1580"/>
    </row>
    <row r="380" spans="3:37" s="1577" customFormat="1" hidden="1" x14ac:dyDescent="0.2">
      <c r="C380" s="1578"/>
      <c r="F380" s="1596"/>
      <c r="G380" s="1578"/>
      <c r="U380" s="1578"/>
      <c r="Z380" s="1579"/>
      <c r="AE380" s="1578"/>
      <c r="AJ380" s="1578"/>
      <c r="AK380" s="1580"/>
    </row>
    <row r="381" spans="3:37" s="1577" customFormat="1" ht="15" hidden="1" x14ac:dyDescent="0.25">
      <c r="C381" s="1578"/>
      <c r="F381" s="1599" t="s">
        <v>3794</v>
      </c>
      <c r="G381" s="1578"/>
      <c r="H381" s="1600">
        <f>AB_Eingabe!M68</f>
        <v>2</v>
      </c>
      <c r="I381" s="1577" t="s">
        <v>4342</v>
      </c>
      <c r="U381" s="1578"/>
      <c r="Z381" s="1579"/>
      <c r="AE381" s="1578"/>
      <c r="AJ381" s="1578"/>
      <c r="AK381" s="1580"/>
    </row>
    <row r="382" spans="3:37" s="1577" customFormat="1" ht="15" hidden="1" x14ac:dyDescent="0.25">
      <c r="C382" s="1578"/>
      <c r="F382" s="1599" t="s">
        <v>3794</v>
      </c>
      <c r="G382" s="1578"/>
      <c r="H382" s="1577" t="str">
        <f>Mais_Boden!$D$41</f>
        <v>zum 6-Blattstadium/späte Nmin</v>
      </c>
      <c r="U382" s="1578"/>
      <c r="Z382" s="1579"/>
      <c r="AE382" s="1578"/>
      <c r="AJ382" s="1578"/>
      <c r="AK382" s="1580"/>
    </row>
    <row r="383" spans="3:37" s="1577" customFormat="1" hidden="1" x14ac:dyDescent="0.2">
      <c r="C383" s="1578"/>
      <c r="F383" s="1596"/>
      <c r="G383" s="1578"/>
      <c r="H383" s="1578"/>
      <c r="U383" s="1578"/>
      <c r="Z383" s="1579"/>
      <c r="AE383" s="1578"/>
      <c r="AJ383" s="1578"/>
      <c r="AK383" s="1580"/>
    </row>
    <row r="384" spans="3:37" s="1577" customFormat="1" hidden="1" x14ac:dyDescent="0.2">
      <c r="C384" s="1578"/>
      <c r="F384" s="1596" t="s">
        <v>3773</v>
      </c>
      <c r="G384" s="1578"/>
      <c r="H384" s="1629" t="str">
        <f>Ackerzahl!$D$94</f>
        <v>40 - 60</v>
      </c>
      <c r="U384" s="1578"/>
      <c r="Z384" s="1579"/>
      <c r="AE384" s="1578"/>
      <c r="AJ384" s="1578"/>
      <c r="AK384" s="1580"/>
    </row>
    <row r="385" spans="3:37" s="1577" customFormat="1" hidden="1" x14ac:dyDescent="0.2">
      <c r="C385" s="1578"/>
      <c r="F385" s="1596" t="s">
        <v>3898</v>
      </c>
      <c r="G385" s="1578"/>
      <c r="H385" s="1578">
        <f>Mais_Boden!$D$53</f>
        <v>0</v>
      </c>
      <c r="I385" s="1577" t="s">
        <v>3309</v>
      </c>
      <c r="L385" s="1577" t="s">
        <v>3902</v>
      </c>
      <c r="U385" s="1578"/>
      <c r="Z385" s="1579"/>
      <c r="AE385" s="1578"/>
      <c r="AJ385" s="1578"/>
      <c r="AK385" s="1580"/>
    </row>
    <row r="386" spans="3:37" s="1577" customFormat="1" ht="15" hidden="1" x14ac:dyDescent="0.25">
      <c r="C386" s="1578"/>
      <c r="F386" s="1599" t="s">
        <v>3899</v>
      </c>
      <c r="G386" s="1578"/>
      <c r="H386" s="1578">
        <f>Ackerzahl!D101</f>
        <v>0</v>
      </c>
      <c r="L386" s="1577" t="s">
        <v>3900</v>
      </c>
      <c r="U386" s="1578"/>
      <c r="Z386" s="1579"/>
      <c r="AE386" s="1578"/>
      <c r="AJ386" s="1578"/>
      <c r="AK386" s="1580"/>
    </row>
    <row r="387" spans="3:37" s="1577" customFormat="1" ht="15" hidden="1" x14ac:dyDescent="0.25">
      <c r="C387" s="1578"/>
      <c r="F387" s="1599" t="s">
        <v>3901</v>
      </c>
      <c r="G387" s="1578"/>
      <c r="H387" s="1578">
        <f>IF(H385=0,H386,H385)</f>
        <v>0</v>
      </c>
      <c r="U387" s="1578"/>
      <c r="Z387" s="1579"/>
      <c r="AE387" s="1578"/>
      <c r="AJ387" s="1578"/>
      <c r="AK387" s="1580"/>
    </row>
    <row r="388" spans="3:37" s="1577" customFormat="1" ht="15" hidden="1" x14ac:dyDescent="0.25">
      <c r="C388" s="1578"/>
      <c r="F388" s="1599"/>
      <c r="G388" s="1578"/>
      <c r="H388" s="1578"/>
      <c r="U388" s="1578"/>
      <c r="Z388" s="1579"/>
      <c r="AE388" s="1578"/>
      <c r="AJ388" s="1578"/>
      <c r="AK388" s="1580"/>
    </row>
    <row r="389" spans="3:37" s="1577" customFormat="1" hidden="1" x14ac:dyDescent="0.2">
      <c r="C389" s="1578"/>
      <c r="G389" s="1578"/>
      <c r="U389" s="1578"/>
      <c r="Z389" s="1579"/>
      <c r="AE389" s="1578"/>
      <c r="AJ389" s="1578"/>
      <c r="AK389" s="1580"/>
    </row>
    <row r="390" spans="3:37" s="1577" customFormat="1" hidden="1" x14ac:dyDescent="0.2">
      <c r="C390" s="1578"/>
      <c r="F390" s="1577" t="s">
        <v>26</v>
      </c>
      <c r="H390" s="1577" t="str">
        <f>Due_org!$D$165</f>
        <v>keine organ./organ.-mineral. Düngung</v>
      </c>
      <c r="U390" s="1578"/>
      <c r="Z390" s="1579"/>
      <c r="AE390" s="1578"/>
      <c r="AJ390" s="1578"/>
      <c r="AK390" s="1580"/>
    </row>
    <row r="391" spans="3:37" s="1577" customFormat="1" hidden="1" x14ac:dyDescent="0.2">
      <c r="C391" s="1578"/>
      <c r="F391" s="1577" t="s">
        <v>3735</v>
      </c>
      <c r="G391" s="1578"/>
      <c r="H391" s="1577">
        <f>Due_org!$I$168</f>
        <v>0</v>
      </c>
      <c r="I391" s="1577">
        <f>Due_org!$H$113</f>
        <v>0</v>
      </c>
      <c r="U391" s="1578"/>
      <c r="Z391" s="1579"/>
      <c r="AE391" s="1578"/>
      <c r="AJ391" s="1578"/>
      <c r="AK391" s="1580"/>
    </row>
    <row r="392" spans="3:37" s="1577" customFormat="1" hidden="1" x14ac:dyDescent="0.2">
      <c r="C392" s="1578"/>
      <c r="F392" s="1577" t="s">
        <v>3539</v>
      </c>
      <c r="G392" s="1578"/>
      <c r="H392" s="1577">
        <f>Due_org!$I$171</f>
        <v>0</v>
      </c>
      <c r="I392" s="1577">
        <f>Due_org!$H$171</f>
        <v>0</v>
      </c>
      <c r="U392" s="1578"/>
      <c r="Z392" s="1579"/>
      <c r="AE392" s="1578"/>
      <c r="AJ392" s="1578"/>
      <c r="AK392" s="1580"/>
    </row>
    <row r="393" spans="3:37" s="1577" customFormat="1" hidden="1" x14ac:dyDescent="0.2">
      <c r="C393" s="1578"/>
      <c r="F393" s="1577" t="s">
        <v>3742</v>
      </c>
      <c r="G393" s="1578"/>
      <c r="H393" s="1577">
        <f>Due_org!$I$174</f>
        <v>0</v>
      </c>
      <c r="I393" s="1577" t="s">
        <v>3703</v>
      </c>
      <c r="U393" s="1578"/>
      <c r="Z393" s="1579"/>
      <c r="AE393" s="1578"/>
      <c r="AJ393" s="1578"/>
      <c r="AK393" s="1580"/>
    </row>
    <row r="394" spans="3:37" s="1577" customFormat="1" hidden="1" x14ac:dyDescent="0.2">
      <c r="C394" s="1578"/>
      <c r="F394" s="1577" t="s">
        <v>3798</v>
      </c>
      <c r="G394" s="1578"/>
      <c r="H394" s="1577">
        <f>IF(OR($H$227=1,AB_Eingabe!$M$68&lt;2),0,IF(AND(ISBLANK(AB_Eingabe!$F$72),AB_Eingabe!$M$72&gt;1,ISBLANK(AB_Eingabe!$J$72)),Kulturen!$H$303,IF(AND(AB_Eingabe!M72=1,ISBLANK(AB_Eingabe!F72),ISBLANK(AB_Eingabe!J72)),Kulturen!H303,AB_Eingabe!$J$72)))</f>
        <v>0</v>
      </c>
      <c r="I394" s="1577" t="s">
        <v>3703</v>
      </c>
      <c r="J394" s="1594" t="s">
        <v>4425</v>
      </c>
      <c r="U394" s="1578"/>
      <c r="Z394" s="1579"/>
      <c r="AE394" s="1578"/>
      <c r="AJ394" s="1578"/>
      <c r="AK394" s="1580"/>
    </row>
    <row r="395" spans="3:37" s="1577" customFormat="1" hidden="1" x14ac:dyDescent="0.2">
      <c r="C395" s="1578"/>
      <c r="F395" s="1596"/>
      <c r="G395" s="1578"/>
      <c r="H395" s="1590"/>
      <c r="U395" s="1578"/>
      <c r="Z395" s="1579"/>
      <c r="AE395" s="1578"/>
      <c r="AJ395" s="1578"/>
      <c r="AK395" s="1580"/>
    </row>
    <row r="396" spans="3:37" s="1577" customFormat="1" hidden="1" x14ac:dyDescent="0.2">
      <c r="C396" s="1578"/>
      <c r="F396" s="1596"/>
      <c r="G396" s="1578"/>
      <c r="U396" s="1578"/>
      <c r="Z396" s="1579"/>
      <c r="AE396" s="1578"/>
      <c r="AJ396" s="1578"/>
      <c r="AK396" s="1580"/>
    </row>
    <row r="397" spans="3:37" s="1577" customFormat="1" hidden="1" x14ac:dyDescent="0.2">
      <c r="C397" s="1578"/>
      <c r="F397" s="1596"/>
      <c r="G397" s="1578"/>
      <c r="U397" s="1578"/>
      <c r="Z397" s="1579"/>
      <c r="AE397" s="1578"/>
      <c r="AJ397" s="1578"/>
      <c r="AK397" s="1580"/>
    </row>
    <row r="398" spans="3:37" s="1577" customFormat="1" hidden="1" x14ac:dyDescent="0.2">
      <c r="C398" s="1578"/>
      <c r="F398" s="1596"/>
      <c r="G398" s="1578"/>
      <c r="U398" s="1578"/>
      <c r="Z398" s="1579"/>
      <c r="AE398" s="1578"/>
      <c r="AJ398" s="1578"/>
      <c r="AK398" s="1580"/>
    </row>
    <row r="399" spans="3:37" s="1577" customFormat="1" ht="15" hidden="1" x14ac:dyDescent="0.25">
      <c r="C399" s="1578"/>
      <c r="F399" s="1589" t="s">
        <v>3736</v>
      </c>
      <c r="G399" s="1578"/>
      <c r="H399" s="1589">
        <f>IF(H227=1,0,AB_Eingabe!$G$35*-1)</f>
        <v>0</v>
      </c>
      <c r="I399" s="1589" t="s">
        <v>3797</v>
      </c>
      <c r="U399" s="1578"/>
      <c r="Z399" s="1579"/>
      <c r="AE399" s="1578"/>
      <c r="AJ399" s="1578"/>
      <c r="AK399" s="1580"/>
    </row>
    <row r="400" spans="3:37" s="1577" customFormat="1" hidden="1" x14ac:dyDescent="0.2">
      <c r="C400" s="1578"/>
      <c r="G400" s="1578"/>
      <c r="U400" s="1578"/>
      <c r="Z400" s="1579"/>
      <c r="AE400" s="1578"/>
      <c r="AJ400" s="1578"/>
      <c r="AK400" s="1580"/>
    </row>
    <row r="401" spans="3:37" s="1577" customFormat="1" hidden="1" x14ac:dyDescent="0.2">
      <c r="C401" s="1578"/>
      <c r="F401" s="1577" t="s">
        <v>3766</v>
      </c>
      <c r="G401" s="1578"/>
      <c r="H401" s="1600">
        <f>H227</f>
        <v>1</v>
      </c>
      <c r="U401" s="1578"/>
      <c r="Z401" s="1579"/>
      <c r="AE401" s="1578"/>
      <c r="AJ401" s="1578"/>
      <c r="AK401" s="1580"/>
    </row>
    <row r="402" spans="3:37" s="1577" customFormat="1" hidden="1" x14ac:dyDescent="0.2">
      <c r="C402" s="1578"/>
      <c r="F402" s="1577" t="s">
        <v>4128</v>
      </c>
      <c r="G402" s="1578"/>
      <c r="H402" s="1577" t="str">
        <f>H229</f>
        <v>auswählen !</v>
      </c>
      <c r="U402" s="1578"/>
      <c r="Z402" s="1579"/>
      <c r="AE402" s="1578"/>
      <c r="AJ402" s="1578"/>
      <c r="AK402" s="1580"/>
    </row>
    <row r="403" spans="3:37" s="1577" customFormat="1" hidden="1" x14ac:dyDescent="0.2">
      <c r="C403" s="1578"/>
      <c r="G403" s="1578"/>
      <c r="U403" s="1578"/>
      <c r="Z403" s="1579"/>
      <c r="AE403" s="1578"/>
      <c r="AJ403" s="1578"/>
      <c r="AK403" s="1580"/>
    </row>
    <row r="404" spans="3:37" s="1577" customFormat="1" hidden="1" x14ac:dyDescent="0.2">
      <c r="C404" s="1578"/>
      <c r="G404" s="1578"/>
      <c r="U404" s="1578"/>
      <c r="Z404" s="1579"/>
      <c r="AE404" s="1578"/>
      <c r="AJ404" s="1578"/>
      <c r="AK404" s="1580"/>
    </row>
    <row r="405" spans="3:37" s="1577" customFormat="1" hidden="1" x14ac:dyDescent="0.2">
      <c r="C405" s="1578"/>
      <c r="F405" s="1630"/>
      <c r="G405" s="1578"/>
      <c r="U405" s="1578"/>
      <c r="Z405" s="1579"/>
      <c r="AE405" s="1578"/>
      <c r="AJ405" s="1578"/>
      <c r="AK405" s="1580"/>
    </row>
    <row r="406" spans="3:37" s="1577" customFormat="1" ht="15" hidden="1" x14ac:dyDescent="0.25">
      <c r="C406" s="1578"/>
      <c r="G406" s="1578"/>
      <c r="H406" s="1631">
        <f>IF(SUM(AB_Ergebnis!J23:'AB_Ergebnis'!J37)&lt;0,0,SUM(AB_Ergebnis!J23:'AB_Ergebnis'!J37))</f>
        <v>0</v>
      </c>
      <c r="I406" s="1589" t="s">
        <v>3309</v>
      </c>
      <c r="J406" s="1577" t="s">
        <v>4550</v>
      </c>
      <c r="U406" s="1578"/>
      <c r="Z406" s="1579"/>
      <c r="AE406" s="1578"/>
      <c r="AJ406" s="1578"/>
      <c r="AK406" s="1580"/>
    </row>
    <row r="407" spans="3:37" s="1577" customFormat="1" ht="15" hidden="1" x14ac:dyDescent="0.25">
      <c r="C407" s="1578"/>
      <c r="G407" s="1578"/>
      <c r="H407" s="1631">
        <f>IFERROR(AB_Ergebnis!I21+AB_Ergebnis!I25+AB_Ergebnis!I27+AB_Ergebnis!I29+AB_Ergebnis!I31+AB_Ergebnis!I33+AB_Ergebnis!I36+AB_Ergebnis!I37,0)</f>
        <v>0</v>
      </c>
      <c r="I407" s="1589" t="s">
        <v>3309</v>
      </c>
      <c r="J407" s="1589" t="s">
        <v>4518</v>
      </c>
      <c r="U407" s="1578"/>
      <c r="Z407" s="1579"/>
      <c r="AE407" s="1578"/>
      <c r="AJ407" s="1578"/>
      <c r="AK407" s="1580"/>
    </row>
    <row r="408" spans="3:37" s="1577" customFormat="1" ht="15" hidden="1" x14ac:dyDescent="0.25">
      <c r="C408" s="1578"/>
      <c r="G408" s="1578"/>
      <c r="H408" s="1620">
        <f>Ertraege_Duengemengen!$D$65</f>
        <v>0</v>
      </c>
      <c r="I408" s="1589" t="s">
        <v>3309</v>
      </c>
      <c r="J408" s="1589" t="s">
        <v>4130</v>
      </c>
      <c r="U408" s="1578"/>
      <c r="Z408" s="1579"/>
      <c r="AE408" s="1578"/>
      <c r="AJ408" s="1578"/>
      <c r="AK408" s="1580"/>
    </row>
    <row r="409" spans="3:37" s="1577" customFormat="1" ht="15" hidden="1" x14ac:dyDescent="0.25">
      <c r="C409" s="1578"/>
      <c r="G409" s="1578"/>
      <c r="H409" s="1620">
        <f>IF(H408&gt;AB_Ergebnis!J42,AB_Ergebnis!J42,H408)</f>
        <v>0</v>
      </c>
      <c r="I409" s="1589" t="s">
        <v>3309</v>
      </c>
      <c r="J409" s="1589" t="s">
        <v>4358</v>
      </c>
      <c r="K409" s="1620"/>
      <c r="L409" s="1583"/>
      <c r="U409" s="1578"/>
      <c r="Z409" s="1579"/>
      <c r="AE409" s="1578"/>
      <c r="AJ409" s="1578"/>
      <c r="AK409" s="1580"/>
    </row>
    <row r="410" spans="3:37" s="1577" customFormat="1" hidden="1" x14ac:dyDescent="0.2">
      <c r="C410" s="1578"/>
      <c r="G410" s="1578"/>
      <c r="U410" s="1578"/>
      <c r="Z410" s="1579"/>
      <c r="AE410" s="1578"/>
      <c r="AJ410" s="1578"/>
      <c r="AK410" s="1580"/>
    </row>
    <row r="411" spans="3:37" s="1606" customFormat="1" hidden="1" x14ac:dyDescent="0.2">
      <c r="C411" s="1607"/>
      <c r="G411" s="1607"/>
      <c r="H411" s="1632" t="s">
        <v>4746</v>
      </c>
      <c r="U411" s="1607"/>
      <c r="Z411" s="1609"/>
      <c r="AE411" s="1607"/>
      <c r="AJ411" s="1607"/>
      <c r="AK411" s="1610"/>
    </row>
    <row r="412" spans="3:37" s="1606" customFormat="1" hidden="1" x14ac:dyDescent="0.2">
      <c r="C412" s="1607"/>
      <c r="F412" s="1606" t="s">
        <v>4747</v>
      </c>
      <c r="G412" s="1607">
        <v>1</v>
      </c>
      <c r="H412" s="1607" t="s">
        <v>3593</v>
      </c>
      <c r="U412" s="1607"/>
      <c r="Z412" s="1609"/>
      <c r="AE412" s="1607"/>
      <c r="AJ412" s="1607"/>
      <c r="AK412" s="1610"/>
    </row>
    <row r="413" spans="3:37" s="1606" customFormat="1" hidden="1" x14ac:dyDescent="0.2">
      <c r="C413" s="1607"/>
      <c r="G413" s="1607">
        <v>2</v>
      </c>
      <c r="H413" s="1607" t="s">
        <v>3590</v>
      </c>
      <c r="U413" s="1607"/>
      <c r="Z413" s="1609"/>
      <c r="AE413" s="1607"/>
      <c r="AJ413" s="1607"/>
      <c r="AK413" s="1610"/>
    </row>
    <row r="414" spans="3:37" s="1606" customFormat="1" hidden="1" x14ac:dyDescent="0.2">
      <c r="C414" s="1607"/>
      <c r="F414" s="1633" t="s">
        <v>3488</v>
      </c>
      <c r="G414" s="1634">
        <f>AB_Eingabe!M23</f>
        <v>1</v>
      </c>
      <c r="H414" s="1607" t="str">
        <f>VLOOKUP(G414,G412:H413,COLUMN(B:B),FALSE)</f>
        <v>Ja</v>
      </c>
      <c r="U414" s="1607"/>
      <c r="Z414" s="1609"/>
      <c r="AE414" s="1607"/>
      <c r="AJ414" s="1607"/>
      <c r="AK414" s="1610"/>
    </row>
    <row r="415" spans="3:37" s="1606" customFormat="1" hidden="1" x14ac:dyDescent="0.2">
      <c r="C415" s="1607"/>
      <c r="G415" s="1607"/>
      <c r="U415" s="1607"/>
      <c r="Z415" s="1609"/>
      <c r="AE415" s="1607"/>
      <c r="AJ415" s="1607"/>
      <c r="AK415" s="1610"/>
    </row>
    <row r="416" spans="3:37" s="1606" customFormat="1" ht="15" hidden="1" x14ac:dyDescent="0.25">
      <c r="C416" s="1607"/>
      <c r="E416" s="1608" t="s">
        <v>3812</v>
      </c>
      <c r="G416" s="1607"/>
      <c r="U416" s="1607"/>
      <c r="Z416" s="1609"/>
      <c r="AE416" s="1607"/>
      <c r="AJ416" s="1607"/>
      <c r="AK416" s="1610"/>
    </row>
    <row r="417" spans="3:37" s="1606" customFormat="1" hidden="1" x14ac:dyDescent="0.2">
      <c r="C417" s="1607"/>
      <c r="F417" s="1606" t="s">
        <v>4748</v>
      </c>
      <c r="G417" s="1607"/>
      <c r="H417" s="1611">
        <f>IF(G414=G412,VLOOKUP(AB_Eingabe!$M$21,$E$12:$AK$77,$K$8,FALSE),VLOOKUP(AB_Eingabe!$M$21,$E$12:$AK$77,$J$8,FALSE))</f>
        <v>0</v>
      </c>
      <c r="I417" s="1606" t="s">
        <v>3478</v>
      </c>
      <c r="K417" s="1606" t="s">
        <v>4749</v>
      </c>
      <c r="U417" s="1607"/>
      <c r="Z417" s="1609"/>
      <c r="AE417" s="1607"/>
      <c r="AJ417" s="1607"/>
      <c r="AK417" s="1610"/>
    </row>
    <row r="418" spans="3:37" s="1606" customFormat="1" hidden="1" x14ac:dyDescent="0.2">
      <c r="C418" s="1607"/>
      <c r="F418" s="1606" t="s">
        <v>3813</v>
      </c>
      <c r="G418" s="1607"/>
      <c r="H418" s="1611">
        <f>$H$234</f>
        <v>0</v>
      </c>
      <c r="I418" s="1606" t="s">
        <v>3479</v>
      </c>
      <c r="U418" s="1607"/>
      <c r="Z418" s="1609"/>
      <c r="AE418" s="1607"/>
      <c r="AJ418" s="1607"/>
      <c r="AK418" s="1610"/>
    </row>
    <row r="419" spans="3:37" s="1606" customFormat="1" hidden="1" x14ac:dyDescent="0.2">
      <c r="C419" s="1607"/>
      <c r="F419" s="1635" t="s">
        <v>3445</v>
      </c>
      <c r="G419" s="1607"/>
      <c r="H419" s="1611"/>
      <c r="U419" s="1607"/>
      <c r="Z419" s="1609"/>
      <c r="AE419" s="1607"/>
      <c r="AJ419" s="1607"/>
      <c r="AK419" s="1610"/>
    </row>
    <row r="420" spans="3:37" s="1606" customFormat="1" hidden="1" x14ac:dyDescent="0.2">
      <c r="C420" s="1607"/>
      <c r="F420" s="1606" t="s">
        <v>4750</v>
      </c>
      <c r="G420" s="1607"/>
      <c r="H420" s="1611">
        <f>H417*H418</f>
        <v>0</v>
      </c>
      <c r="I420" s="1606" t="s">
        <v>3703</v>
      </c>
      <c r="U420" s="1607"/>
      <c r="Z420" s="1609"/>
      <c r="AE420" s="1607"/>
      <c r="AJ420" s="1607"/>
      <c r="AK420" s="1610"/>
    </row>
    <row r="421" spans="3:37" s="1606" customFormat="1" hidden="1" x14ac:dyDescent="0.2">
      <c r="C421" s="1607"/>
      <c r="F421" s="1606" t="s">
        <v>3806</v>
      </c>
      <c r="G421" s="1607"/>
      <c r="H421" s="1607" t="str">
        <f>IF(AB_Eingabe!H42&gt;0,IF(H402="Hopfen",PKMg!B38,PKMg!B20),"")</f>
        <v/>
      </c>
      <c r="K421" s="1606" t="s">
        <v>4334</v>
      </c>
      <c r="U421" s="1607"/>
      <c r="Z421" s="1609"/>
      <c r="AE421" s="1607"/>
      <c r="AJ421" s="1607"/>
      <c r="AK421" s="1610"/>
    </row>
    <row r="422" spans="3:37" s="1606" customFormat="1" hidden="1" x14ac:dyDescent="0.2">
      <c r="C422" s="1607"/>
      <c r="F422" s="1606" t="s">
        <v>3827</v>
      </c>
      <c r="G422" s="1607"/>
      <c r="H422" s="1636" t="str">
        <f>IF(H402="Hopfen",IF(AB_Eingabe!H42&gt;0,PKMg!O311,""),IF(AB_Eingabe!H42&gt;0,PKMg!E311,""))</f>
        <v/>
      </c>
      <c r="I422" s="1606" t="s">
        <v>3703</v>
      </c>
      <c r="K422" s="1606" t="s">
        <v>4334</v>
      </c>
      <c r="U422" s="1607"/>
      <c r="Z422" s="1609"/>
      <c r="AE422" s="1607"/>
      <c r="AJ422" s="1607"/>
      <c r="AK422" s="1610"/>
    </row>
    <row r="423" spans="3:37" s="1606" customFormat="1" hidden="1" x14ac:dyDescent="0.2">
      <c r="C423" s="1607"/>
      <c r="F423" s="1606" t="s">
        <v>4359</v>
      </c>
      <c r="G423" s="1607"/>
      <c r="U423" s="1607"/>
      <c r="Z423" s="1609"/>
      <c r="AE423" s="1607"/>
      <c r="AJ423" s="1607"/>
      <c r="AK423" s="1610"/>
    </row>
    <row r="424" spans="3:37" s="1606" customFormat="1" hidden="1" x14ac:dyDescent="0.2">
      <c r="C424" s="1607"/>
      <c r="F424" s="1606" t="s">
        <v>4751</v>
      </c>
      <c r="G424" s="1607"/>
      <c r="H424" s="1611" t="e">
        <f>ROUND(H420,0)+ROUND(H422,0)</f>
        <v>#VALUE!</v>
      </c>
      <c r="I424" s="1606" t="s">
        <v>3703</v>
      </c>
      <c r="K424" s="1606" t="s">
        <v>4752</v>
      </c>
      <c r="U424" s="1607"/>
      <c r="Z424" s="1609"/>
      <c r="AE424" s="1607"/>
      <c r="AJ424" s="1607"/>
      <c r="AK424" s="1610"/>
    </row>
    <row r="425" spans="3:37" s="1606" customFormat="1" hidden="1" x14ac:dyDescent="0.2">
      <c r="C425" s="1607"/>
      <c r="F425" s="1606" t="s">
        <v>4753</v>
      </c>
      <c r="G425" s="1607"/>
      <c r="H425" s="1611" t="e">
        <f>IF(OR(H421="D",H421="E"),ROUND(H420,0),H424)</f>
        <v>#VALUE!</v>
      </c>
      <c r="I425" s="1606" t="s">
        <v>3703</v>
      </c>
      <c r="K425" s="1606" t="s">
        <v>4754</v>
      </c>
      <c r="U425" s="1607"/>
      <c r="Z425" s="1609"/>
      <c r="AE425" s="1607"/>
      <c r="AJ425" s="1607"/>
      <c r="AK425" s="1610"/>
    </row>
    <row r="426" spans="3:37" s="1606" customFormat="1" hidden="1" x14ac:dyDescent="0.2">
      <c r="C426" s="1607"/>
      <c r="G426" s="1607"/>
      <c r="U426" s="1607"/>
      <c r="Z426" s="1609"/>
      <c r="AE426" s="1607"/>
      <c r="AJ426" s="1607"/>
      <c r="AK426" s="1610"/>
    </row>
    <row r="427" spans="3:37" s="1606" customFormat="1" hidden="1" x14ac:dyDescent="0.2">
      <c r="C427" s="1607"/>
      <c r="G427" s="1607"/>
      <c r="H427" s="1636"/>
      <c r="U427" s="1607"/>
      <c r="Z427" s="1609"/>
      <c r="AE427" s="1607"/>
      <c r="AJ427" s="1607"/>
      <c r="AK427" s="1610"/>
    </row>
    <row r="428" spans="3:37" s="1606" customFormat="1" ht="15" hidden="1" x14ac:dyDescent="0.25">
      <c r="C428" s="1607"/>
      <c r="E428" s="1608" t="s">
        <v>3814</v>
      </c>
      <c r="G428" s="1607"/>
      <c r="U428" s="1607"/>
      <c r="Z428" s="1609"/>
      <c r="AE428" s="1607"/>
      <c r="AJ428" s="1607"/>
      <c r="AK428" s="1610"/>
    </row>
    <row r="429" spans="3:37" s="1606" customFormat="1" hidden="1" x14ac:dyDescent="0.2">
      <c r="C429" s="1607"/>
      <c r="F429" s="1606" t="s">
        <v>4748</v>
      </c>
      <c r="G429" s="1607"/>
      <c r="H429" s="1611">
        <f>IF(G414=G412,VLOOKUP(AB_Eingabe!$M$21,$E$12:$AK$77,$M$8,FALSE),VLOOKUP(AB_Eingabe!$M$21,$E$12:$AK$77,$L$8,FALSE))</f>
        <v>0</v>
      </c>
      <c r="I429" s="1606" t="s">
        <v>3478</v>
      </c>
      <c r="K429" s="1606" t="s">
        <v>4749</v>
      </c>
      <c r="U429" s="1607"/>
      <c r="Z429" s="1609"/>
      <c r="AE429" s="1607"/>
      <c r="AJ429" s="1607"/>
      <c r="AK429" s="1610"/>
    </row>
    <row r="430" spans="3:37" s="1606" customFormat="1" hidden="1" x14ac:dyDescent="0.2">
      <c r="C430" s="1607"/>
      <c r="F430" s="1606" t="s">
        <v>3813</v>
      </c>
      <c r="G430" s="1607"/>
      <c r="H430" s="1611">
        <f>$H$234</f>
        <v>0</v>
      </c>
      <c r="I430" s="1606" t="s">
        <v>3490</v>
      </c>
      <c r="U430" s="1607"/>
      <c r="Z430" s="1609"/>
      <c r="AE430" s="1607"/>
      <c r="AJ430" s="1607"/>
      <c r="AK430" s="1610"/>
    </row>
    <row r="431" spans="3:37" s="1606" customFormat="1" hidden="1" x14ac:dyDescent="0.2">
      <c r="C431" s="1607"/>
      <c r="F431" s="1606" t="s">
        <v>4750</v>
      </c>
      <c r="G431" s="1607"/>
      <c r="H431" s="1611">
        <f>H429*H430</f>
        <v>0</v>
      </c>
      <c r="I431" s="1606" t="s">
        <v>3703</v>
      </c>
      <c r="U431" s="1607"/>
      <c r="Z431" s="1609"/>
      <c r="AE431" s="1607"/>
      <c r="AJ431" s="1607"/>
      <c r="AK431" s="1610"/>
    </row>
    <row r="432" spans="3:37" s="1606" customFormat="1" hidden="1" x14ac:dyDescent="0.2">
      <c r="C432" s="1607"/>
      <c r="F432" s="1606" t="s">
        <v>3806</v>
      </c>
      <c r="G432" s="1607"/>
      <c r="H432" s="1607" t="str">
        <f>IF(AB_Eingabe!I42&gt;0,IF(H402="Hopfen",PKMg!C38,PKMg!C20),"")</f>
        <v/>
      </c>
      <c r="K432" s="1606" t="s">
        <v>4334</v>
      </c>
      <c r="U432" s="1607"/>
      <c r="Z432" s="1609"/>
      <c r="AE432" s="1607"/>
      <c r="AJ432" s="1607"/>
      <c r="AK432" s="1610"/>
    </row>
    <row r="433" spans="3:37" s="1606" customFormat="1" hidden="1" x14ac:dyDescent="0.2">
      <c r="C433" s="1607"/>
      <c r="F433" s="1606" t="s">
        <v>3827</v>
      </c>
      <c r="G433" s="1607"/>
      <c r="H433" s="1636" t="str">
        <f>IF(H402="Hopfen",IF(AB_Eingabe!I42&gt;0,PKMg!P311,0),IF(AB_Eingabe!I42&gt;0,PKMg!F311,""))</f>
        <v/>
      </c>
      <c r="I433" s="1606" t="s">
        <v>3703</v>
      </c>
      <c r="K433" s="1606" t="s">
        <v>4334</v>
      </c>
      <c r="U433" s="1607"/>
      <c r="Z433" s="1609"/>
      <c r="AE433" s="1607"/>
      <c r="AJ433" s="1607"/>
      <c r="AK433" s="1610"/>
    </row>
    <row r="434" spans="3:37" s="1606" customFormat="1" hidden="1" x14ac:dyDescent="0.2">
      <c r="C434" s="1607"/>
      <c r="F434" s="1606" t="s">
        <v>4359</v>
      </c>
      <c r="G434" s="1607"/>
      <c r="H434" s="1637"/>
      <c r="U434" s="1607"/>
      <c r="Z434" s="1609"/>
      <c r="AE434" s="1607"/>
      <c r="AJ434" s="1607"/>
      <c r="AK434" s="1610"/>
    </row>
    <row r="435" spans="3:37" s="1606" customFormat="1" hidden="1" x14ac:dyDescent="0.2">
      <c r="C435" s="1607"/>
      <c r="F435" s="1606" t="s">
        <v>4751</v>
      </c>
      <c r="G435" s="1607"/>
      <c r="H435" s="1611" t="e">
        <f>ROUND(H431,0)+ROUND(H433,0)</f>
        <v>#VALUE!</v>
      </c>
      <c r="I435" s="1606" t="s">
        <v>3703</v>
      </c>
      <c r="K435" s="1606" t="s">
        <v>4752</v>
      </c>
      <c r="U435" s="1607"/>
      <c r="Z435" s="1609"/>
      <c r="AE435" s="1607"/>
      <c r="AJ435" s="1607"/>
      <c r="AK435" s="1610"/>
    </row>
    <row r="436" spans="3:37" s="1606" customFormat="1" hidden="1" x14ac:dyDescent="0.2">
      <c r="C436" s="1607"/>
      <c r="F436" s="1606" t="s">
        <v>4753</v>
      </c>
      <c r="G436" s="1607"/>
      <c r="H436" s="1611" t="e">
        <f>IF(OR(H432="D",H432="E"),ROUND(H431,0),H435)</f>
        <v>#VALUE!</v>
      </c>
      <c r="I436" s="1606" t="s">
        <v>3703</v>
      </c>
      <c r="K436" s="1606" t="s">
        <v>4754</v>
      </c>
      <c r="U436" s="1607"/>
      <c r="Z436" s="1609"/>
      <c r="AE436" s="1607"/>
      <c r="AJ436" s="1607"/>
      <c r="AK436" s="1610"/>
    </row>
    <row r="437" spans="3:37" s="1606" customFormat="1" hidden="1" x14ac:dyDescent="0.2">
      <c r="C437" s="1607"/>
      <c r="G437" s="1607"/>
      <c r="H437" s="1636"/>
      <c r="U437" s="1607"/>
      <c r="Z437" s="1609"/>
      <c r="AE437" s="1607"/>
      <c r="AJ437" s="1607"/>
      <c r="AK437" s="1610"/>
    </row>
    <row r="438" spans="3:37" s="1606" customFormat="1" hidden="1" x14ac:dyDescent="0.2">
      <c r="C438" s="1607"/>
      <c r="G438" s="1607"/>
      <c r="H438" s="1636"/>
      <c r="U438" s="1607"/>
      <c r="Z438" s="1609"/>
      <c r="AE438" s="1607"/>
      <c r="AJ438" s="1607"/>
      <c r="AK438" s="1610"/>
    </row>
    <row r="439" spans="3:37" s="1606" customFormat="1" ht="15" hidden="1" x14ac:dyDescent="0.25">
      <c r="C439" s="1607"/>
      <c r="E439" s="1608" t="s">
        <v>3826</v>
      </c>
      <c r="G439" s="1607"/>
      <c r="U439" s="1607"/>
      <c r="Z439" s="1609"/>
      <c r="AE439" s="1607"/>
      <c r="AJ439" s="1607"/>
      <c r="AK439" s="1610"/>
    </row>
    <row r="440" spans="3:37" s="1606" customFormat="1" hidden="1" x14ac:dyDescent="0.2">
      <c r="C440" s="1607"/>
      <c r="F440" s="1606" t="s">
        <v>4748</v>
      </c>
      <c r="G440" s="1607"/>
      <c r="H440" s="1611">
        <f>IF(G414=G412,VLOOKUP(AB_Eingabe!$M$21,$E$12:$AK$77,$O$8,FALSE),VLOOKUP(AB_Eingabe!$M$21,$E$12:$AK$77,$N$8,FALSE))</f>
        <v>0</v>
      </c>
      <c r="I440" s="1606" t="s">
        <v>3478</v>
      </c>
      <c r="K440" s="1606" t="s">
        <v>4749</v>
      </c>
      <c r="U440" s="1607"/>
      <c r="Z440" s="1609"/>
      <c r="AE440" s="1607"/>
      <c r="AJ440" s="1607"/>
      <c r="AK440" s="1610"/>
    </row>
    <row r="441" spans="3:37" s="1606" customFormat="1" hidden="1" x14ac:dyDescent="0.2">
      <c r="C441" s="1607"/>
      <c r="F441" s="1606" t="s">
        <v>3813</v>
      </c>
      <c r="G441" s="1607"/>
      <c r="H441" s="1611">
        <f>$H$234</f>
        <v>0</v>
      </c>
      <c r="I441" s="1606" t="s">
        <v>3490</v>
      </c>
      <c r="U441" s="1607"/>
      <c r="Z441" s="1609"/>
      <c r="AE441" s="1607"/>
      <c r="AJ441" s="1607"/>
      <c r="AK441" s="1610"/>
    </row>
    <row r="442" spans="3:37" s="1606" customFormat="1" hidden="1" x14ac:dyDescent="0.2">
      <c r="C442" s="1607"/>
      <c r="F442" s="1606" t="s">
        <v>4750</v>
      </c>
      <c r="G442" s="1607"/>
      <c r="H442" s="1606">
        <f>H440*H441</f>
        <v>0</v>
      </c>
      <c r="I442" s="1606" t="s">
        <v>3703</v>
      </c>
      <c r="U442" s="1607"/>
      <c r="Z442" s="1609"/>
      <c r="AE442" s="1607"/>
      <c r="AJ442" s="1607"/>
      <c r="AK442" s="1610"/>
    </row>
    <row r="443" spans="3:37" s="1606" customFormat="1" hidden="1" x14ac:dyDescent="0.2">
      <c r="C443" s="1607"/>
      <c r="F443" s="1606" t="s">
        <v>3806</v>
      </c>
      <c r="G443" s="1607"/>
      <c r="H443" s="1607" t="str">
        <f>IF(AB_Eingabe!J42&gt;0,IF(H402="Hopfen",PKMg!D38,PKMg!D20),"")</f>
        <v/>
      </c>
      <c r="K443" s="1606" t="s">
        <v>4334</v>
      </c>
      <c r="U443" s="1607"/>
      <c r="Z443" s="1609"/>
      <c r="AE443" s="1607"/>
      <c r="AJ443" s="1607"/>
      <c r="AK443" s="1610"/>
    </row>
    <row r="444" spans="3:37" s="1606" customFormat="1" hidden="1" x14ac:dyDescent="0.2">
      <c r="C444" s="1607"/>
      <c r="F444" s="1606" t="s">
        <v>3827</v>
      </c>
      <c r="G444" s="1607"/>
      <c r="H444" s="1636" t="str">
        <f>IF(H402="Hopfen",IF(AB_Eingabe!J42&gt;0,PKMg!Q311,""),IF(AB_Eingabe!J42&gt;0,PKMg!G311,""))</f>
        <v/>
      </c>
      <c r="I444" s="1606" t="s">
        <v>3703</v>
      </c>
      <c r="K444" s="1606" t="s">
        <v>4334</v>
      </c>
      <c r="U444" s="1607"/>
      <c r="Z444" s="1609"/>
      <c r="AE444" s="1607"/>
      <c r="AJ444" s="1607"/>
      <c r="AK444" s="1610"/>
    </row>
    <row r="445" spans="3:37" s="1606" customFormat="1" hidden="1" x14ac:dyDescent="0.2">
      <c r="C445" s="1607"/>
      <c r="F445" s="1606" t="s">
        <v>4359</v>
      </c>
      <c r="G445" s="1607"/>
      <c r="H445" s="1637"/>
      <c r="U445" s="1607"/>
      <c r="Z445" s="1609"/>
      <c r="AE445" s="1607"/>
      <c r="AJ445" s="1607"/>
      <c r="AK445" s="1610"/>
    </row>
    <row r="446" spans="3:37" s="1606" customFormat="1" hidden="1" x14ac:dyDescent="0.2">
      <c r="C446" s="1607"/>
      <c r="F446" s="1606" t="s">
        <v>4751</v>
      </c>
      <c r="G446" s="1607"/>
      <c r="H446" s="1611" t="e">
        <f>ROUND(H442,0)+ROUND(H444,0)</f>
        <v>#VALUE!</v>
      </c>
      <c r="I446" s="1606" t="s">
        <v>3703</v>
      </c>
      <c r="K446" s="1606" t="s">
        <v>4752</v>
      </c>
      <c r="U446" s="1607"/>
      <c r="Z446" s="1609"/>
      <c r="AE446" s="1607"/>
      <c r="AJ446" s="1607"/>
      <c r="AK446" s="1610"/>
    </row>
    <row r="447" spans="3:37" s="1606" customFormat="1" hidden="1" x14ac:dyDescent="0.2">
      <c r="C447" s="1607"/>
      <c r="F447" s="1606" t="s">
        <v>4753</v>
      </c>
      <c r="G447" s="1607"/>
      <c r="H447" s="1611" t="e">
        <f>IF(OR(H443="D",H443="E"),ROUND(H442,0),H446)</f>
        <v>#VALUE!</v>
      </c>
      <c r="I447" s="1606" t="s">
        <v>3703</v>
      </c>
      <c r="K447" s="1606" t="s">
        <v>4754</v>
      </c>
      <c r="U447" s="1607"/>
      <c r="Z447" s="1609"/>
      <c r="AE447" s="1607"/>
      <c r="AJ447" s="1607"/>
      <c r="AK447" s="1610"/>
    </row>
    <row r="448" spans="3:37" s="1606" customFormat="1" hidden="1" x14ac:dyDescent="0.2">
      <c r="C448" s="1607"/>
      <c r="G448" s="1607"/>
      <c r="H448" s="1636"/>
      <c r="U448" s="1607"/>
      <c r="Z448" s="1609"/>
      <c r="AE448" s="1607"/>
      <c r="AJ448" s="1607"/>
      <c r="AK448" s="1610"/>
    </row>
    <row r="449" spans="3:37" s="1606" customFormat="1" hidden="1" x14ac:dyDescent="0.2">
      <c r="C449" s="1607"/>
      <c r="G449" s="1607"/>
      <c r="H449" s="1636"/>
      <c r="U449" s="1607"/>
      <c r="Z449" s="1609"/>
      <c r="AE449" s="1607"/>
      <c r="AJ449" s="1607"/>
      <c r="AK449" s="1610"/>
    </row>
    <row r="450" spans="3:37" s="1606" customFormat="1" hidden="1" x14ac:dyDescent="0.2">
      <c r="C450" s="1607"/>
      <c r="G450" s="1607"/>
      <c r="H450" s="1607"/>
      <c r="U450" s="1607"/>
      <c r="Z450" s="1609"/>
      <c r="AE450" s="1607"/>
      <c r="AJ450" s="1607"/>
      <c r="AK450" s="1610"/>
    </row>
    <row r="451" spans="3:37" s="1606" customFormat="1" ht="15" hidden="1" x14ac:dyDescent="0.25">
      <c r="C451" s="1607"/>
      <c r="F451" s="1608" t="s">
        <v>4160</v>
      </c>
      <c r="I451" s="1638">
        <v>5</v>
      </c>
      <c r="J451" s="1639" t="s">
        <v>4163</v>
      </c>
      <c r="U451" s="1607"/>
      <c r="Z451" s="1609"/>
      <c r="AE451" s="1607"/>
      <c r="AJ451" s="1607"/>
      <c r="AK451" s="1610"/>
    </row>
    <row r="452" spans="3:37" s="1606" customFormat="1" ht="15" hidden="1" x14ac:dyDescent="0.25">
      <c r="C452" s="1607"/>
      <c r="F452" s="1608"/>
      <c r="I452" s="1607"/>
      <c r="J452" s="1606" t="s">
        <v>4194</v>
      </c>
      <c r="U452" s="1607"/>
      <c r="Z452" s="1609"/>
      <c r="AE452" s="1607"/>
      <c r="AJ452" s="1607"/>
      <c r="AK452" s="1610"/>
    </row>
    <row r="453" spans="3:37" s="1606" customFormat="1" ht="15" hidden="1" x14ac:dyDescent="0.25">
      <c r="C453" s="1607"/>
      <c r="F453" s="1608"/>
      <c r="I453" s="1607"/>
      <c r="U453" s="1607"/>
      <c r="Z453" s="1609"/>
      <c r="AE453" s="1607"/>
      <c r="AJ453" s="1607"/>
      <c r="AK453" s="1610"/>
    </row>
    <row r="454" spans="3:37" s="1606" customFormat="1" ht="15" hidden="1" x14ac:dyDescent="0.25">
      <c r="C454" s="1607"/>
      <c r="F454" s="1608"/>
      <c r="I454" s="1607"/>
      <c r="U454" s="1607"/>
      <c r="Z454" s="1609"/>
      <c r="AE454" s="1607"/>
      <c r="AJ454" s="1607"/>
      <c r="AK454" s="1610"/>
    </row>
    <row r="455" spans="3:37" s="1606" customFormat="1" ht="15" hidden="1" x14ac:dyDescent="0.25">
      <c r="C455" s="1607"/>
      <c r="G455" s="1607"/>
      <c r="I455" s="1638" t="s">
        <v>3807</v>
      </c>
      <c r="J455" s="1608" t="s">
        <v>3808</v>
      </c>
      <c r="K455" s="1608" t="s">
        <v>4037</v>
      </c>
      <c r="U455" s="1607"/>
      <c r="Z455" s="1609"/>
      <c r="AE455" s="1607"/>
      <c r="AJ455" s="1607"/>
      <c r="AK455" s="1610"/>
    </row>
    <row r="456" spans="3:37" s="1606" customFormat="1" hidden="1" x14ac:dyDescent="0.2">
      <c r="C456" s="1607"/>
      <c r="F456" s="1606" t="s">
        <v>4177</v>
      </c>
      <c r="G456" s="1607"/>
      <c r="H456" s="1614">
        <f>AB_Eingabe!$M$21</f>
        <v>1</v>
      </c>
      <c r="I456" s="1607">
        <f>IF(AB_Eingabe!M21&gt;1,1,0)</f>
        <v>0</v>
      </c>
      <c r="J456" s="1607">
        <f>I456</f>
        <v>0</v>
      </c>
      <c r="K456" s="1607">
        <f>I456</f>
        <v>0</v>
      </c>
      <c r="U456" s="1607"/>
      <c r="Z456" s="1609"/>
      <c r="AE456" s="1607"/>
      <c r="AJ456" s="1607"/>
      <c r="AK456" s="1610"/>
    </row>
    <row r="457" spans="3:37" s="1606" customFormat="1" hidden="1" x14ac:dyDescent="0.2">
      <c r="C457" s="1607"/>
      <c r="F457" s="1606" t="s">
        <v>4151</v>
      </c>
      <c r="G457" s="1607"/>
      <c r="H457" s="1611">
        <f>H234</f>
        <v>0</v>
      </c>
      <c r="I457" s="1607">
        <f>IF(H235="Nein",0,IF(H457&gt;0,1,0))</f>
        <v>0</v>
      </c>
      <c r="J457" s="1607">
        <f t="shared" ref="J457:J462" si="7">I457</f>
        <v>0</v>
      </c>
      <c r="K457" s="1607">
        <f t="shared" ref="K457:K462" si="8">I457</f>
        <v>0</v>
      </c>
      <c r="U457" s="1607"/>
      <c r="Z457" s="1609"/>
      <c r="AE457" s="1607"/>
      <c r="AJ457" s="1607"/>
      <c r="AK457" s="1610"/>
    </row>
    <row r="458" spans="3:37" s="1606" customFormat="1" hidden="1" x14ac:dyDescent="0.2">
      <c r="C458" s="1607"/>
      <c r="G458" s="1607"/>
      <c r="H458" s="1614"/>
      <c r="I458" s="1607"/>
      <c r="J458" s="1607"/>
      <c r="K458" s="1607"/>
      <c r="U458" s="1607"/>
      <c r="Z458" s="1609"/>
      <c r="AE458" s="1607"/>
      <c r="AJ458" s="1607"/>
      <c r="AK458" s="1610"/>
    </row>
    <row r="459" spans="3:37" s="1606" customFormat="1" hidden="1" x14ac:dyDescent="0.2">
      <c r="C459" s="1607"/>
      <c r="F459" s="1607" t="s">
        <v>4178</v>
      </c>
      <c r="G459" s="1607"/>
      <c r="H459" s="1614">
        <f>AB_Eingabe!M23</f>
        <v>1</v>
      </c>
      <c r="I459" s="1607">
        <v>1</v>
      </c>
      <c r="J459" s="1607">
        <f t="shared" si="7"/>
        <v>1</v>
      </c>
      <c r="K459" s="1607">
        <f t="shared" si="8"/>
        <v>1</v>
      </c>
      <c r="L459" s="1606" t="s">
        <v>4193</v>
      </c>
      <c r="U459" s="1607"/>
      <c r="Z459" s="1609"/>
      <c r="AE459" s="1607"/>
      <c r="AJ459" s="1607"/>
      <c r="AK459" s="1610"/>
    </row>
    <row r="460" spans="3:37" s="1606" customFormat="1" hidden="1" x14ac:dyDescent="0.2">
      <c r="C460" s="1607"/>
      <c r="F460" s="1607"/>
      <c r="G460" s="1607"/>
      <c r="I460" s="1607"/>
      <c r="J460" s="1607"/>
      <c r="K460" s="1607"/>
      <c r="U460" s="1607"/>
      <c r="Z460" s="1609"/>
      <c r="AE460" s="1607"/>
      <c r="AJ460" s="1607"/>
      <c r="AK460" s="1610"/>
    </row>
    <row r="461" spans="3:37" s="1606" customFormat="1" hidden="1" x14ac:dyDescent="0.2">
      <c r="C461" s="1607"/>
      <c r="G461" s="1607"/>
      <c r="H461" s="1614"/>
      <c r="I461" s="1607"/>
      <c r="J461" s="1607"/>
      <c r="K461" s="1607"/>
      <c r="L461" s="1606" t="s">
        <v>4193</v>
      </c>
      <c r="U461" s="1607"/>
      <c r="Z461" s="1609"/>
      <c r="AE461" s="1607"/>
      <c r="AJ461" s="1607"/>
      <c r="AK461" s="1610"/>
    </row>
    <row r="462" spans="3:37" s="1606" customFormat="1" hidden="1" x14ac:dyDescent="0.2">
      <c r="C462" s="1607"/>
      <c r="F462" s="1606" t="s">
        <v>3577</v>
      </c>
      <c r="G462" s="1607"/>
      <c r="H462" s="1614">
        <f>AB_Eingabe!M40</f>
        <v>4</v>
      </c>
      <c r="I462" s="1607">
        <v>1</v>
      </c>
      <c r="J462" s="1607">
        <f t="shared" si="7"/>
        <v>1</v>
      </c>
      <c r="K462" s="1607">
        <f t="shared" si="8"/>
        <v>1</v>
      </c>
      <c r="L462" s="1606" t="s">
        <v>4193</v>
      </c>
      <c r="U462" s="1607"/>
      <c r="Z462" s="1609"/>
      <c r="AE462" s="1607"/>
      <c r="AJ462" s="1607"/>
      <c r="AK462" s="1610"/>
    </row>
    <row r="463" spans="3:37" s="1606" customFormat="1" hidden="1" x14ac:dyDescent="0.2">
      <c r="C463" s="1607"/>
      <c r="F463" s="1615" t="s">
        <v>4179</v>
      </c>
      <c r="G463" s="1632"/>
      <c r="H463" s="1615">
        <f>AB_Eingabe!H42</f>
        <v>0</v>
      </c>
      <c r="I463" s="1632">
        <f>IF(H463=0,0,1)</f>
        <v>0</v>
      </c>
      <c r="U463" s="1607"/>
      <c r="Z463" s="1609"/>
      <c r="AE463" s="1607"/>
      <c r="AJ463" s="1607"/>
      <c r="AK463" s="1610"/>
    </row>
    <row r="464" spans="3:37" s="1606" customFormat="1" hidden="1" x14ac:dyDescent="0.2">
      <c r="C464" s="1607"/>
      <c r="F464" s="1615" t="s">
        <v>4180</v>
      </c>
      <c r="G464" s="1640"/>
      <c r="H464" s="1615">
        <f>AB_Eingabe!I42</f>
        <v>0</v>
      </c>
      <c r="J464" s="1632">
        <f>IF(H464=0,0,1)</f>
        <v>0</v>
      </c>
      <c r="U464" s="1607"/>
      <c r="Z464" s="1609"/>
      <c r="AE464" s="1607"/>
      <c r="AJ464" s="1607"/>
      <c r="AK464" s="1610"/>
    </row>
    <row r="465" spans="3:37" s="1606" customFormat="1" hidden="1" x14ac:dyDescent="0.2">
      <c r="C465" s="1607"/>
      <c r="F465" s="1615" t="s">
        <v>4181</v>
      </c>
      <c r="G465" s="1640"/>
      <c r="H465" s="1615">
        <f>AB_Eingabe!J42</f>
        <v>0</v>
      </c>
      <c r="K465" s="1632">
        <f>IF(H465=0,0,1)</f>
        <v>0</v>
      </c>
      <c r="U465" s="1607"/>
      <c r="Z465" s="1609"/>
      <c r="AE465" s="1607"/>
      <c r="AJ465" s="1607"/>
      <c r="AK465" s="1610"/>
    </row>
    <row r="466" spans="3:37" s="1606" customFormat="1" ht="15" hidden="1" x14ac:dyDescent="0.25">
      <c r="C466" s="1607"/>
      <c r="F466" s="1608" t="s">
        <v>3759</v>
      </c>
      <c r="I466" s="1638">
        <f>SUM(I456:I463)</f>
        <v>2</v>
      </c>
      <c r="J466" s="1638">
        <f>SUM(J456:J464)</f>
        <v>2</v>
      </c>
      <c r="K466" s="1638">
        <f>SUM(K456:K465)</f>
        <v>2</v>
      </c>
      <c r="U466" s="1607"/>
      <c r="Z466" s="1609"/>
      <c r="AE466" s="1607"/>
      <c r="AJ466" s="1607"/>
      <c r="AK466" s="1610"/>
    </row>
    <row r="467" spans="3:37" s="1606" customFormat="1" ht="15" hidden="1" x14ac:dyDescent="0.25">
      <c r="C467" s="1607"/>
      <c r="F467" s="1616" t="s">
        <v>4161</v>
      </c>
      <c r="G467" s="1617"/>
      <c r="H467" s="1617"/>
      <c r="I467" s="1616">
        <f>$I$451-I466</f>
        <v>3</v>
      </c>
      <c r="J467" s="1616">
        <f t="shared" ref="J467:K467" si="9">$I$451-J466</f>
        <v>3</v>
      </c>
      <c r="K467" s="1616">
        <f t="shared" si="9"/>
        <v>3</v>
      </c>
      <c r="U467" s="1607"/>
      <c r="Z467" s="1609"/>
      <c r="AE467" s="1607"/>
      <c r="AJ467" s="1607"/>
      <c r="AK467" s="1610"/>
    </row>
    <row r="468" spans="3:37" s="1606" customFormat="1" hidden="1" x14ac:dyDescent="0.2">
      <c r="C468" s="1607"/>
      <c r="U468" s="1607"/>
      <c r="Z468" s="1609"/>
      <c r="AE468" s="1607"/>
      <c r="AJ468" s="1607"/>
      <c r="AK468" s="1610"/>
    </row>
    <row r="469" spans="3:37" s="1606" customFormat="1" hidden="1" x14ac:dyDescent="0.2">
      <c r="C469" s="1607"/>
      <c r="U469" s="1607"/>
      <c r="Z469" s="1609"/>
      <c r="AE469" s="1607"/>
      <c r="AJ469" s="1607"/>
      <c r="AK469" s="1610"/>
    </row>
    <row r="470" spans="3:37" s="1606" customFormat="1" ht="15" hidden="1" x14ac:dyDescent="0.25">
      <c r="C470" s="1607"/>
      <c r="F470" s="1608"/>
      <c r="U470" s="1607"/>
      <c r="Z470" s="1609"/>
      <c r="AE470" s="1607"/>
      <c r="AJ470" s="1607"/>
      <c r="AK470" s="1610"/>
    </row>
    <row r="471" spans="3:37" s="1606" customFormat="1" hidden="1" x14ac:dyDescent="0.2">
      <c r="C471" s="1607"/>
      <c r="G471" s="1607"/>
      <c r="U471" s="1607"/>
      <c r="Z471" s="1609"/>
      <c r="AE471" s="1607"/>
      <c r="AJ471" s="1607"/>
      <c r="AK471" s="1610"/>
    </row>
    <row r="472" spans="3:37" s="1606" customFormat="1" hidden="1" x14ac:dyDescent="0.2">
      <c r="C472" s="1607"/>
      <c r="G472" s="1607"/>
      <c r="U472" s="1607"/>
      <c r="Z472" s="1609"/>
      <c r="AE472" s="1607"/>
      <c r="AJ472" s="1607"/>
      <c r="AK472" s="1610"/>
    </row>
    <row r="473" spans="3:37" s="1575" customFormat="1" ht="15" hidden="1" x14ac:dyDescent="0.25">
      <c r="C473" s="1576"/>
      <c r="E473" s="1574" t="s">
        <v>4767</v>
      </c>
      <c r="G473" s="1576"/>
      <c r="U473" s="1576"/>
      <c r="AE473" s="1576"/>
      <c r="AJ473" s="1576"/>
      <c r="AK473" s="1576"/>
    </row>
    <row r="474" spans="3:37" s="1577" customFormat="1" hidden="1" x14ac:dyDescent="0.2">
      <c r="C474" s="1578"/>
      <c r="G474" s="1578"/>
      <c r="U474" s="1578"/>
      <c r="Z474" s="1579"/>
      <c r="AE474" s="1578"/>
      <c r="AJ474" s="1578"/>
      <c r="AK474" s="1580"/>
    </row>
    <row r="475" spans="3:37" s="1577" customFormat="1" hidden="1" x14ac:dyDescent="0.2">
      <c r="C475" s="1578"/>
      <c r="F475" s="1577" t="s">
        <v>3910</v>
      </c>
      <c r="G475" s="1578"/>
      <c r="H475" s="1581">
        <f>OR_Eingabe!$M$22</f>
        <v>1</v>
      </c>
      <c r="U475" s="1578"/>
      <c r="Z475" s="1579"/>
      <c r="AE475" s="1578"/>
      <c r="AJ475" s="1578"/>
      <c r="AK475" s="1580"/>
    </row>
    <row r="476" spans="3:37" s="1577" customFormat="1" ht="15" hidden="1" x14ac:dyDescent="0.25">
      <c r="C476" s="1578"/>
      <c r="F476" s="1589" t="s">
        <v>3909</v>
      </c>
      <c r="G476" s="1578"/>
      <c r="H476" s="1589" t="str">
        <f>VLOOKUP(OR_Eingabe!$M$22,$E$78:$F$93,$F$8,FALSE)</f>
        <v>auswählen !</v>
      </c>
      <c r="U476" s="1578"/>
      <c r="Z476" s="1579"/>
      <c r="AE476" s="1578"/>
      <c r="AJ476" s="1578"/>
      <c r="AK476" s="1580"/>
    </row>
    <row r="477" spans="3:37" s="1577" customFormat="1" ht="15" hidden="1" x14ac:dyDescent="0.25">
      <c r="C477" s="1578"/>
      <c r="F477" s="1589" t="s">
        <v>3903</v>
      </c>
      <c r="G477" s="1618"/>
      <c r="H477" s="1703">
        <f>VLOOKUP(OR_Eingabe!$M$22,$E$78:$AJ$93,$H$8,FALSE)</f>
        <v>0</v>
      </c>
      <c r="I477" s="1589" t="s">
        <v>3703</v>
      </c>
      <c r="U477" s="1578"/>
      <c r="Z477" s="1579"/>
      <c r="AE477" s="1578"/>
      <c r="AJ477" s="1578"/>
      <c r="AK477" s="1580"/>
    </row>
    <row r="478" spans="3:37" s="1577" customFormat="1" ht="15" hidden="1" x14ac:dyDescent="0.25">
      <c r="C478" s="1578"/>
      <c r="F478" s="1589"/>
      <c r="G478" s="1618"/>
      <c r="H478" s="1589"/>
      <c r="I478" s="1589"/>
      <c r="U478" s="1578"/>
      <c r="Z478" s="1579"/>
      <c r="AE478" s="1578"/>
      <c r="AJ478" s="1578"/>
      <c r="AK478" s="1580"/>
    </row>
    <row r="479" spans="3:37" s="1577" customFormat="1" hidden="1" x14ac:dyDescent="0.2">
      <c r="C479" s="1578"/>
      <c r="F479" s="1584" t="s">
        <v>3907</v>
      </c>
      <c r="G479" s="1605"/>
      <c r="H479" s="1605">
        <f>VLOOKUP(OR_Eingabe!$M$22,$E$78:$AJ$93,$AI$8,FALSE)</f>
        <v>0</v>
      </c>
      <c r="O479" s="1577" t="s">
        <v>3651</v>
      </c>
      <c r="U479" s="1578"/>
      <c r="Z479" s="1579"/>
      <c r="AE479" s="1578"/>
      <c r="AJ479" s="1578"/>
      <c r="AK479" s="1580"/>
    </row>
    <row r="480" spans="3:37" s="1577" customFormat="1" ht="15" hidden="1" x14ac:dyDescent="0.25">
      <c r="C480" s="1578"/>
      <c r="F480" s="1641" t="s">
        <v>4087</v>
      </c>
      <c r="G480" s="1578"/>
      <c r="H480" s="1642">
        <f>VLOOKUP(OR_Eingabe!$M$22,$E$78:$AL$94,$AJ$8,FALSE)</f>
        <v>0</v>
      </c>
      <c r="U480" s="1578"/>
      <c r="Z480" s="1579"/>
      <c r="AE480" s="1578"/>
      <c r="AJ480" s="1578"/>
      <c r="AK480" s="1580"/>
    </row>
    <row r="481" spans="3:37" s="1577" customFormat="1" hidden="1" x14ac:dyDescent="0.2">
      <c r="C481" s="1578"/>
      <c r="F481" s="1584" t="s">
        <v>4088</v>
      </c>
      <c r="G481" s="1578"/>
      <c r="H481" s="1605"/>
      <c r="U481" s="1578"/>
      <c r="Z481" s="1579"/>
      <c r="AE481" s="1578"/>
      <c r="AJ481" s="1578"/>
      <c r="AK481" s="1580"/>
    </row>
    <row r="482" spans="3:37" s="1577" customFormat="1" hidden="1" x14ac:dyDescent="0.2">
      <c r="C482" s="1578"/>
      <c r="F482" s="1577" t="s">
        <v>3517</v>
      </c>
      <c r="G482" s="1578"/>
      <c r="H482" s="1704">
        <f>VLOOKUP(OR_Eingabe!$M$22,$E$78:$AL$93,$T$8,FALSE)</f>
        <v>0</v>
      </c>
      <c r="I482" s="1577" t="s">
        <v>3479</v>
      </c>
      <c r="O482" s="1577">
        <f>IF(H479="Reben",H482,0)</f>
        <v>0</v>
      </c>
      <c r="P482" s="1577" t="s">
        <v>3479</v>
      </c>
      <c r="U482" s="1578"/>
      <c r="Z482" s="1579"/>
      <c r="AE482" s="1578"/>
      <c r="AJ482" s="1578"/>
      <c r="AK482" s="1580"/>
    </row>
    <row r="483" spans="3:37" s="1577" customFormat="1" ht="15" hidden="1" x14ac:dyDescent="0.25">
      <c r="C483" s="1578"/>
      <c r="F483" s="1589" t="s">
        <v>3489</v>
      </c>
      <c r="G483" s="1618"/>
      <c r="H483" s="1598">
        <f>OR_Eingabe!F24</f>
        <v>0</v>
      </c>
      <c r="I483" s="1589" t="s">
        <v>3479</v>
      </c>
      <c r="U483" s="1578"/>
      <c r="Z483" s="1579"/>
      <c r="AE483" s="1578"/>
      <c r="AJ483" s="1578"/>
      <c r="AK483" s="1580"/>
    </row>
    <row r="484" spans="3:37" s="1577" customFormat="1" hidden="1" x14ac:dyDescent="0.2">
      <c r="C484" s="1578"/>
      <c r="F484" s="1596" t="s">
        <v>3915</v>
      </c>
      <c r="G484" s="1578"/>
      <c r="H484" s="1643">
        <f>IF($H$479="Obst",$H$483-$H$482,0)</f>
        <v>0</v>
      </c>
      <c r="I484" s="1577" t="s">
        <v>3479</v>
      </c>
      <c r="N484" s="1596" t="s">
        <v>3913</v>
      </c>
      <c r="O484" s="1577" t="e">
        <f>VLOOKUP(OR_Eingabe!$M$22,$E$79:$AL$93,$AK$8,FALSE)</f>
        <v>#N/A</v>
      </c>
      <c r="P484" s="1577" t="s">
        <v>3479</v>
      </c>
      <c r="U484" s="1578"/>
      <c r="Z484" s="1579"/>
      <c r="AE484" s="1578"/>
      <c r="AJ484" s="1578"/>
      <c r="AK484" s="1580"/>
    </row>
    <row r="485" spans="3:37" s="1577" customFormat="1" hidden="1" x14ac:dyDescent="0.2">
      <c r="C485" s="1578"/>
      <c r="F485" s="1577" t="s">
        <v>3516</v>
      </c>
      <c r="G485" s="1578"/>
      <c r="H485" s="1578">
        <f>VLOOKUP(OR_Eingabe!$M$22,$E$78:$AL$93,$U$8,FALSE)</f>
        <v>0</v>
      </c>
      <c r="I485" s="1577" t="s">
        <v>3479</v>
      </c>
      <c r="N485" s="1596" t="s">
        <v>3914</v>
      </c>
      <c r="O485" s="1577" t="e">
        <f>VLOOKUP(OR_Eingabe!$M$22,$E$79:$AL$93,$AL$8,FALSE)</f>
        <v>#N/A</v>
      </c>
      <c r="P485" s="1577" t="s">
        <v>3479</v>
      </c>
      <c r="U485" s="1578"/>
      <c r="Z485" s="1579"/>
      <c r="AE485" s="1578"/>
      <c r="AJ485" s="1578"/>
      <c r="AK485" s="1580"/>
    </row>
    <row r="486" spans="3:37" s="1577" customFormat="1" hidden="1" x14ac:dyDescent="0.2">
      <c r="C486" s="1578"/>
      <c r="F486" s="1577" t="s">
        <v>3521</v>
      </c>
      <c r="G486" s="1578"/>
      <c r="H486" s="1583">
        <f>IF($H$484=0,0,$H$484/$H$485)</f>
        <v>0</v>
      </c>
      <c r="U486" s="1578"/>
      <c r="Z486" s="1579"/>
      <c r="AE486" s="1578"/>
      <c r="AJ486" s="1578"/>
      <c r="AK486" s="1580"/>
    </row>
    <row r="487" spans="3:37" s="1577" customFormat="1" hidden="1" x14ac:dyDescent="0.2">
      <c r="C487" s="1578"/>
      <c r="F487" s="1577" t="s">
        <v>3519</v>
      </c>
      <c r="G487" s="1578"/>
      <c r="H487" s="1583">
        <f>ROUNDDOWN($H$486,0)</f>
        <v>0</v>
      </c>
      <c r="U487" s="1578"/>
      <c r="Z487" s="1579"/>
      <c r="AE487" s="1578"/>
      <c r="AJ487" s="1578"/>
      <c r="AK487" s="1580"/>
    </row>
    <row r="488" spans="3:37" s="1577" customFormat="1" hidden="1" x14ac:dyDescent="0.2">
      <c r="C488" s="1578"/>
      <c r="F488" s="1577" t="s">
        <v>3524</v>
      </c>
      <c r="G488" s="1578"/>
      <c r="H488" s="1578">
        <f>VLOOKUP(OR_Eingabe!$M$22,$E$78:$AL$93,$V$8,FALSE)</f>
        <v>0</v>
      </c>
      <c r="I488" s="1577" t="s">
        <v>3309</v>
      </c>
      <c r="U488" s="1578"/>
      <c r="Z488" s="1579"/>
      <c r="AE488" s="1578"/>
      <c r="AJ488" s="1578"/>
      <c r="AK488" s="1580"/>
    </row>
    <row r="489" spans="3:37" s="1577" customFormat="1" hidden="1" x14ac:dyDescent="0.2">
      <c r="C489" s="1578"/>
      <c r="F489" s="1577" t="s">
        <v>3525</v>
      </c>
      <c r="G489" s="1578"/>
      <c r="H489" s="1578">
        <f>VLOOKUP(OR_Eingabe!$M$22,$E$78:$AL$93,$X$8,FALSE)</f>
        <v>0</v>
      </c>
      <c r="I489" s="1577" t="s">
        <v>3309</v>
      </c>
      <c r="U489" s="1578"/>
      <c r="Z489" s="1579"/>
      <c r="AE489" s="1578"/>
      <c r="AJ489" s="1578"/>
      <c r="AK489" s="1580"/>
    </row>
    <row r="490" spans="3:37" s="1577" customFormat="1" hidden="1" x14ac:dyDescent="0.2">
      <c r="C490" s="1578"/>
      <c r="F490" s="1577" t="s">
        <v>4780</v>
      </c>
      <c r="G490" s="1578"/>
      <c r="H490" s="1577" t="str">
        <f>IF(H480="Erdbeeren",40,"")</f>
        <v/>
      </c>
      <c r="U490" s="1578"/>
      <c r="Z490" s="1579"/>
      <c r="AE490" s="1578"/>
      <c r="AJ490" s="1578"/>
      <c r="AK490" s="1580"/>
    </row>
    <row r="491" spans="3:37" s="1577" customFormat="1" ht="15" hidden="1" x14ac:dyDescent="0.25">
      <c r="C491" s="1578"/>
      <c r="F491" s="1589" t="s">
        <v>3912</v>
      </c>
      <c r="G491" s="1578"/>
      <c r="H491" s="1589">
        <f>IF($H$487&lt;1,$H$489*$H$487,MIN($H$488*$H$487,H490))</f>
        <v>0</v>
      </c>
      <c r="I491" s="1577" t="s">
        <v>3309</v>
      </c>
      <c r="O491" s="1584">
        <f>IF(H483&gt;0,IF(H483&lt;O484,H489*-1,IF(H483&gt;O485,H488,0)),0)</f>
        <v>0</v>
      </c>
      <c r="P491" s="1577" t="s">
        <v>3309</v>
      </c>
      <c r="U491" s="1578"/>
      <c r="Z491" s="1579"/>
      <c r="AE491" s="1578"/>
      <c r="AJ491" s="1578"/>
      <c r="AK491" s="1580"/>
    </row>
    <row r="492" spans="3:37" s="1577" customFormat="1" hidden="1" x14ac:dyDescent="0.2">
      <c r="C492" s="1578"/>
      <c r="G492" s="1578"/>
      <c r="N492" s="1577" t="s">
        <v>3918</v>
      </c>
      <c r="U492" s="1578"/>
      <c r="Z492" s="1579"/>
      <c r="AE492" s="1578"/>
      <c r="AJ492" s="1578"/>
      <c r="AK492" s="1580"/>
    </row>
    <row r="493" spans="3:37" s="1577" customFormat="1" ht="15" hidden="1" x14ac:dyDescent="0.25">
      <c r="C493" s="1578"/>
      <c r="F493" s="1589" t="s">
        <v>3916</v>
      </c>
      <c r="G493" s="1618"/>
      <c r="H493" s="1703">
        <f>IF(H479="Reben",O491,H491)</f>
        <v>0</v>
      </c>
      <c r="I493" s="1589" t="s">
        <v>3309</v>
      </c>
      <c r="J493" s="1589"/>
      <c r="U493" s="1578"/>
      <c r="Z493" s="1579"/>
      <c r="AE493" s="1578"/>
      <c r="AJ493" s="1578"/>
      <c r="AK493" s="1580"/>
    </row>
    <row r="494" spans="3:37" s="1577" customFormat="1" hidden="1" x14ac:dyDescent="0.2">
      <c r="C494" s="1578"/>
      <c r="G494" s="1578"/>
      <c r="U494" s="1578"/>
      <c r="Z494" s="1579"/>
      <c r="AE494" s="1578"/>
      <c r="AJ494" s="1578"/>
      <c r="AK494" s="1580"/>
    </row>
    <row r="495" spans="3:37" s="1577" customFormat="1" ht="15" hidden="1" x14ac:dyDescent="0.25">
      <c r="C495" s="1578"/>
      <c r="F495" s="1589" t="s">
        <v>4481</v>
      </c>
      <c r="G495" s="1578"/>
      <c r="H495" s="1589">
        <f>$H$477+$H$493</f>
        <v>0</v>
      </c>
      <c r="I495" s="1589" t="s">
        <v>3309</v>
      </c>
      <c r="U495" s="1578"/>
      <c r="Z495" s="1579"/>
      <c r="AE495" s="1578"/>
      <c r="AJ495" s="1578"/>
      <c r="AK495" s="1580"/>
    </row>
    <row r="496" spans="3:37" s="1577" customFormat="1" ht="15" hidden="1" x14ac:dyDescent="0.25">
      <c r="C496" s="1578"/>
      <c r="F496" s="1589" t="s">
        <v>4482</v>
      </c>
      <c r="G496" s="1578"/>
      <c r="H496" s="1589">
        <f>VLOOKUP(OR_Eingabe!$M$22,$E$78:$AL$93,$AE$8,FALSE)</f>
        <v>0</v>
      </c>
      <c r="I496" s="1589" t="s">
        <v>3309</v>
      </c>
      <c r="U496" s="1578"/>
      <c r="Z496" s="1579"/>
      <c r="AE496" s="1578"/>
      <c r="AJ496" s="1578"/>
      <c r="AK496" s="1580"/>
    </row>
    <row r="497" spans="3:37" s="1577" customFormat="1" ht="15" hidden="1" x14ac:dyDescent="0.25">
      <c r="C497" s="1578"/>
      <c r="F497" s="1589" t="s">
        <v>4483</v>
      </c>
      <c r="G497" s="1578"/>
      <c r="H497" s="1644" t="e">
        <f>IF((OR_Ergebnis!J21+OR_Ergebnis!J32+OR_Ergebnis!J25+OR_Ergebnis!J27+OR_Ergebnis!J24+OR_Ergebnis!J33+OR_Ergebnis!J34+OR_Ergebnis!J35+OR_Ergebnis!J23+OR_Ergebnis!J29)&lt;=0,0,OR_Ergebnis!J21+OR_Ergebnis!J32+OR_Ergebnis!J25+OR_Ergebnis!J27+OR_Ergebnis!J24+OR_Ergebnis!J33+OR_Ergebnis!J34+OR_Ergebnis!J35+OR_Ergebnis!J23+OR_Ergebnis!J29)</f>
        <v>#VALUE!</v>
      </c>
      <c r="I497" s="1589" t="s">
        <v>3309</v>
      </c>
      <c r="U497" s="1578"/>
      <c r="Z497" s="1579"/>
      <c r="AE497" s="1578"/>
      <c r="AJ497" s="1578"/>
      <c r="AK497" s="1580"/>
    </row>
    <row r="498" spans="3:37" s="1577" customFormat="1" ht="16.5" hidden="1" x14ac:dyDescent="0.3">
      <c r="C498" s="1578"/>
      <c r="F498" s="1645" t="s">
        <v>4484</v>
      </c>
      <c r="G498" s="1578"/>
      <c r="H498" s="1589" t="e">
        <f>IF(H497&gt;H496,H496,H497)</f>
        <v>#VALUE!</v>
      </c>
      <c r="I498" s="1589" t="s">
        <v>3309</v>
      </c>
      <c r="U498" s="1578"/>
      <c r="Z498" s="1579"/>
      <c r="AE498" s="1578"/>
      <c r="AJ498" s="1578"/>
      <c r="AK498" s="1580"/>
    </row>
    <row r="499" spans="3:37" s="1577" customFormat="1" ht="16.5" hidden="1" x14ac:dyDescent="0.3">
      <c r="C499" s="1578"/>
      <c r="F499" s="1645"/>
      <c r="G499" s="1578"/>
      <c r="H499" s="1589"/>
      <c r="I499" s="1589"/>
      <c r="U499" s="1578"/>
      <c r="Z499" s="1579"/>
      <c r="AE499" s="1578"/>
      <c r="AJ499" s="1578"/>
      <c r="AK499" s="1580"/>
    </row>
    <row r="500" spans="3:37" s="1577" customFormat="1" ht="15" hidden="1" x14ac:dyDescent="0.25">
      <c r="C500" s="1578"/>
      <c r="F500" s="1589" t="s">
        <v>4155</v>
      </c>
      <c r="G500" s="1578" t="s">
        <v>4159</v>
      </c>
      <c r="H500" s="1589">
        <v>8</v>
      </c>
      <c r="I500" s="1589" t="s">
        <v>4160</v>
      </c>
      <c r="L500" s="1584" t="s">
        <v>4163</v>
      </c>
      <c r="U500" s="1578"/>
      <c r="Z500" s="1579"/>
      <c r="AE500" s="1578"/>
      <c r="AJ500" s="1578"/>
      <c r="AK500" s="1580"/>
    </row>
    <row r="501" spans="3:37" s="1577" customFormat="1" ht="15" hidden="1" x14ac:dyDescent="0.25">
      <c r="C501" s="1578"/>
      <c r="F501" s="1589"/>
      <c r="G501" s="1578"/>
      <c r="U501" s="1578"/>
      <c r="Z501" s="1579"/>
      <c r="AE501" s="1578"/>
      <c r="AJ501" s="1578"/>
      <c r="AK501" s="1580"/>
    </row>
    <row r="502" spans="3:37" s="1577" customFormat="1" ht="15" hidden="1" x14ac:dyDescent="0.25">
      <c r="C502" s="1578"/>
      <c r="F502" s="1577" t="s">
        <v>13</v>
      </c>
      <c r="G502" s="1578"/>
      <c r="H502" s="1600">
        <f>OR_Eingabe!M22</f>
        <v>1</v>
      </c>
      <c r="I502" s="1601">
        <f>IF(H502&gt;1,1,0)</f>
        <v>0</v>
      </c>
      <c r="J502" s="1577" t="s">
        <v>4156</v>
      </c>
      <c r="U502" s="1578"/>
      <c r="V502" s="1641"/>
      <c r="W502" s="1641"/>
      <c r="X502" s="1641"/>
      <c r="Y502" s="1641"/>
      <c r="Z502" s="1579"/>
      <c r="AE502" s="1578"/>
      <c r="AJ502" s="1578"/>
      <c r="AK502" s="1580"/>
    </row>
    <row r="503" spans="3:37" s="1577" customFormat="1" ht="15" hidden="1" x14ac:dyDescent="0.25">
      <c r="C503" s="1578"/>
      <c r="F503" s="1577" t="s">
        <v>4049</v>
      </c>
      <c r="G503" s="1578"/>
      <c r="H503" s="1583">
        <f>OR_Eingabe!F24</f>
        <v>0</v>
      </c>
      <c r="I503" s="1601">
        <f>IF(OR_Eingabe!F24="",0,IF(NOT(H503=""),1,0))</f>
        <v>0</v>
      </c>
      <c r="J503" s="1577" t="s">
        <v>4152</v>
      </c>
      <c r="O503" s="1584" t="s">
        <v>4281</v>
      </c>
      <c r="U503" s="1578"/>
      <c r="V503" s="1641"/>
      <c r="W503" s="1641"/>
      <c r="X503" s="1641"/>
      <c r="Y503" s="1641"/>
      <c r="Z503" s="1579"/>
      <c r="AE503" s="1578"/>
      <c r="AJ503" s="1578"/>
      <c r="AK503" s="1580"/>
    </row>
    <row r="504" spans="3:37" s="1577" customFormat="1" hidden="1" x14ac:dyDescent="0.2">
      <c r="C504" s="1578"/>
      <c r="F504" s="1577" t="s">
        <v>4291</v>
      </c>
      <c r="G504" s="1578"/>
      <c r="H504" s="1600">
        <f>OR_Eingabe!M53</f>
        <v>1</v>
      </c>
      <c r="I504" s="1601">
        <f>IF($H$480="Erdbeeren",IF($H$504&gt;1,1,0),1)</f>
        <v>1</v>
      </c>
      <c r="J504" s="1577" t="s">
        <v>4157</v>
      </c>
      <c r="U504" s="1578"/>
      <c r="Z504" s="1579"/>
      <c r="AE504" s="1578"/>
      <c r="AJ504" s="1578"/>
      <c r="AK504" s="1580"/>
    </row>
    <row r="505" spans="3:37" s="1577" customFormat="1" hidden="1" x14ac:dyDescent="0.2">
      <c r="C505" s="1578"/>
      <c r="F505" s="1577" t="s">
        <v>4564</v>
      </c>
      <c r="G505" s="1578"/>
      <c r="H505" s="1600">
        <f>Zwfru!D54</f>
        <v>1</v>
      </c>
      <c r="I505" s="1601">
        <f>IF($H$480="Erdbeeren",IF($H$505&gt;1,1,0),1)</f>
        <v>1</v>
      </c>
      <c r="J505" s="1577" t="s">
        <v>4156</v>
      </c>
      <c r="U505" s="1578"/>
      <c r="Z505" s="1579"/>
      <c r="AE505" s="1578"/>
      <c r="AJ505" s="1578"/>
      <c r="AK505" s="1580"/>
    </row>
    <row r="506" spans="3:37" s="1577" customFormat="1" hidden="1" x14ac:dyDescent="0.2">
      <c r="C506" s="1578"/>
      <c r="F506" s="1577" t="s">
        <v>4292</v>
      </c>
      <c r="G506" s="1578"/>
      <c r="H506" s="1577">
        <f>OR_Eingabe!F28</f>
        <v>0</v>
      </c>
      <c r="I506" s="1601">
        <f>IF(OR_Eingabe!F28="",0,IF(H506&gt;=0,1,0))</f>
        <v>0</v>
      </c>
      <c r="J506" s="1577" t="s">
        <v>4293</v>
      </c>
      <c r="U506" s="1578"/>
      <c r="Z506" s="1579"/>
      <c r="AE506" s="1578"/>
      <c r="AJ506" s="1578"/>
      <c r="AK506" s="1580"/>
    </row>
    <row r="507" spans="3:37" s="1577" customFormat="1" hidden="1" x14ac:dyDescent="0.2">
      <c r="C507" s="1578"/>
      <c r="F507" s="1577" t="s">
        <v>21</v>
      </c>
      <c r="G507" s="1578"/>
      <c r="H507" s="1646">
        <f>OR_Eingabe!C35</f>
        <v>0</v>
      </c>
      <c r="I507" s="1601">
        <f>IF(H507&gt;0,1,0)</f>
        <v>0</v>
      </c>
      <c r="J507" s="1577" t="s">
        <v>4154</v>
      </c>
      <c r="U507" s="1578"/>
      <c r="Z507" s="1579"/>
      <c r="AE507" s="1578"/>
      <c r="AJ507" s="1578"/>
      <c r="AK507" s="1580"/>
    </row>
    <row r="508" spans="3:37" s="1577" customFormat="1" hidden="1" x14ac:dyDescent="0.2">
      <c r="C508" s="1578"/>
      <c r="F508" s="1577" t="s">
        <v>4294</v>
      </c>
      <c r="G508" s="1578"/>
      <c r="H508" s="1602">
        <f>OR_Eingabe!M41</f>
        <v>1</v>
      </c>
      <c r="I508" s="1709">
        <f>IF(AND(ISBLANK(OR_Eingabe!H41),OR_Eingabe!M41&gt;1),0,IF(OR(AND(OR_Eingabe!M41=16,AND(OR_Eingabe!J41=0,Due_org!R27="Daten unvollständig")),AND(OR_Eingabe!M41=17,AND(OR_Eingabe!J41=0,Due_org!R28="Daten unvollständig")),AND(OR_Eingabe!M41=38,AND(OR_Eingabe!J41=0,Due_org!R49="Daten unvollständig")),AND(OR_Eingabe!M41=39,AND(OR_Eingabe!J41=0,Due_org!R50="Daten unvollständig")),AND(OR_Eingabe!M41=40,AND(OR_Eingabe!J41=0,Due_org!R51="Daten unvollständig")),AND(OR_Eingabe!M41=41,AND(OR_Eingabe!J41=0,Due_org!R52="Daten unvollständig")),AND(OR_Eingabe!M41=42,AND(OR_Eingabe!J41=0,Due_org!R53="Daten unvollständig")),AND(OR_Eingabe!M41=57,AND(OR_Eingabe!J41=0,Due_org!R68="Daten unvollständig")),AND(OR_Eingabe!M41=58,AND(OR_Eingabe!J41=0,Due_org!R69="Daten unvollständig"))),0,1))</f>
        <v>1</v>
      </c>
      <c r="U508" s="1578"/>
      <c r="Z508" s="1579"/>
      <c r="AE508" s="1578"/>
      <c r="AJ508" s="1578"/>
      <c r="AK508" s="1580"/>
    </row>
    <row r="509" spans="3:37" s="1577" customFormat="1" hidden="1" x14ac:dyDescent="0.2">
      <c r="C509" s="1578"/>
      <c r="F509" s="1577" t="s">
        <v>4295</v>
      </c>
      <c r="G509" s="1578"/>
      <c r="H509" s="1602">
        <f>OR_Eingabe!M45</f>
        <v>1</v>
      </c>
      <c r="I509" s="1601">
        <f>IF(AND(ISBLANK(OR_Eingabe!H45),OR_Eingabe!M45&gt;1),0,IF(OR(AND(OR_Eingabe!M45=16,AND(OR_Eingabe!J45=0,Due_org!R27="Daten unvollständig")),AND(OR_Eingabe!M45=17,AND(OR_Eingabe!J45=0,Due_org!R28="Daten unvollständig")),AND(OR_Eingabe!M45=38,AND(OR_Eingabe!J45=0,Due_org!R49="Daten unvollständig")),AND(OR_Eingabe!M45=39,AND(OR_Eingabe!J45=0,Due_org!R50="Daten unvollständig")),AND(OR_Eingabe!M45=40,AND(OR_Eingabe!J45=0,Due_org!R51="Daten unvollständig")),AND(OR_Eingabe!M45=41,AND(OR_Eingabe!J45=0,Due_org!R52="Daten unvollständig")),AND(OR_Eingabe!M45=42,AND(OR_Eingabe!J45=0,Due_org!R53="Daten unvollständig")),AND(OR_Eingabe!M45=57,AND(OR_Eingabe!J45=0,Due_org!R68="Daten unvollständig")),AND(OR_Eingabe!M45=58,AND(OR_Eingabe!J45=0,Due_org!R69="Daten unvollständig"))),0,1))</f>
        <v>1</v>
      </c>
      <c r="U509" s="1578"/>
      <c r="Z509" s="1579"/>
      <c r="AE509" s="1578"/>
      <c r="AJ509" s="1578"/>
      <c r="AK509" s="1580"/>
    </row>
    <row r="510" spans="3:37" s="1577" customFormat="1" hidden="1" x14ac:dyDescent="0.2">
      <c r="C510" s="1578"/>
      <c r="G510" s="1578"/>
      <c r="H510" s="1602"/>
      <c r="I510" s="1601"/>
      <c r="U510" s="1578"/>
      <c r="Z510" s="1579"/>
      <c r="AE510" s="1578"/>
      <c r="AJ510" s="1578"/>
      <c r="AK510" s="1580"/>
    </row>
    <row r="511" spans="3:37" s="1577" customFormat="1" hidden="1" x14ac:dyDescent="0.2">
      <c r="C511" s="1578"/>
      <c r="G511" s="1578"/>
      <c r="H511" s="1602"/>
      <c r="I511" s="1601"/>
      <c r="U511" s="1578"/>
      <c r="Z511" s="1579"/>
      <c r="AE511" s="1578"/>
      <c r="AJ511" s="1578"/>
      <c r="AK511" s="1580"/>
    </row>
    <row r="512" spans="3:37" s="1577" customFormat="1" hidden="1" x14ac:dyDescent="0.2">
      <c r="C512" s="1578"/>
      <c r="G512" s="1578"/>
      <c r="H512" s="1602"/>
      <c r="I512" s="1601"/>
      <c r="U512" s="1578"/>
      <c r="Z512" s="1579"/>
      <c r="AE512" s="1578"/>
      <c r="AJ512" s="1578"/>
      <c r="AK512" s="1580"/>
    </row>
    <row r="513" spans="3:37" s="1577" customFormat="1" hidden="1" x14ac:dyDescent="0.2">
      <c r="C513" s="1578"/>
      <c r="G513" s="1578"/>
      <c r="H513" s="1602"/>
      <c r="I513" s="1601"/>
      <c r="U513" s="1578"/>
      <c r="Z513" s="1579"/>
      <c r="AE513" s="1578"/>
      <c r="AJ513" s="1578"/>
      <c r="AK513" s="1580"/>
    </row>
    <row r="514" spans="3:37" s="1577" customFormat="1" hidden="1" x14ac:dyDescent="0.2">
      <c r="C514" s="1578"/>
      <c r="G514" s="1578"/>
      <c r="H514" s="1602"/>
      <c r="I514" s="1601"/>
      <c r="U514" s="1578"/>
      <c r="Z514" s="1579"/>
      <c r="AE514" s="1578"/>
      <c r="AJ514" s="1578"/>
      <c r="AK514" s="1580"/>
    </row>
    <row r="515" spans="3:37" s="1577" customFormat="1" ht="15" hidden="1" x14ac:dyDescent="0.25">
      <c r="C515" s="1578"/>
      <c r="F515" s="1579"/>
      <c r="G515" s="1578"/>
      <c r="H515" s="1589" t="s">
        <v>3759</v>
      </c>
      <c r="I515" s="1603">
        <f>SUM(I502:I513)</f>
        <v>4</v>
      </c>
      <c r="U515" s="1578"/>
      <c r="Z515" s="1579"/>
      <c r="AE515" s="1578"/>
      <c r="AJ515" s="1578"/>
      <c r="AK515" s="1580"/>
    </row>
    <row r="516" spans="3:37" s="1577" customFormat="1" hidden="1" x14ac:dyDescent="0.2">
      <c r="C516" s="1578"/>
      <c r="G516" s="1578"/>
      <c r="H516" s="1604" t="s">
        <v>4161</v>
      </c>
      <c r="I516" s="1605">
        <f>H500-I515</f>
        <v>4</v>
      </c>
      <c r="U516" s="1578"/>
      <c r="Z516" s="1579"/>
      <c r="AE516" s="1578"/>
      <c r="AJ516" s="1578"/>
      <c r="AK516" s="1580"/>
    </row>
    <row r="517" spans="3:37" s="1577" customFormat="1" hidden="1" x14ac:dyDescent="0.2">
      <c r="C517" s="1578"/>
      <c r="G517" s="1578"/>
      <c r="U517" s="1578"/>
      <c r="Z517" s="1579"/>
      <c r="AE517" s="1578"/>
      <c r="AJ517" s="1578"/>
      <c r="AK517" s="1580"/>
    </row>
    <row r="518" spans="3:37" s="1577" customFormat="1" hidden="1" x14ac:dyDescent="0.2">
      <c r="C518" s="1578"/>
      <c r="G518" s="1578"/>
      <c r="U518" s="1578"/>
      <c r="Z518" s="1579"/>
      <c r="AE518" s="1578"/>
      <c r="AJ518" s="1578"/>
      <c r="AK518" s="1580"/>
    </row>
    <row r="519" spans="3:37" s="1577" customFormat="1" hidden="1" x14ac:dyDescent="0.2">
      <c r="C519" s="1578"/>
      <c r="G519" s="1578"/>
      <c r="U519" s="1578"/>
      <c r="Z519" s="1579"/>
      <c r="AE519" s="1578"/>
      <c r="AJ519" s="1578"/>
      <c r="AK519" s="1580"/>
    </row>
    <row r="520" spans="3:37" s="1577" customFormat="1" hidden="1" x14ac:dyDescent="0.2">
      <c r="C520" s="1578"/>
      <c r="G520" s="1578"/>
      <c r="U520" s="1578"/>
      <c r="Z520" s="1579"/>
      <c r="AE520" s="1578"/>
      <c r="AJ520" s="1578"/>
      <c r="AK520" s="1580"/>
    </row>
    <row r="521" spans="3:37" s="1577" customFormat="1" hidden="1" x14ac:dyDescent="0.2">
      <c r="C521" s="1578"/>
      <c r="G521" s="1578"/>
      <c r="U521" s="1578"/>
      <c r="Z521" s="1579"/>
      <c r="AE521" s="1578"/>
      <c r="AJ521" s="1578"/>
      <c r="AK521" s="1580"/>
    </row>
    <row r="522" spans="3:37" s="1577" customFormat="1" hidden="1" x14ac:dyDescent="0.2">
      <c r="C522" s="1578"/>
      <c r="G522" s="1578"/>
      <c r="U522" s="1578"/>
      <c r="Z522" s="1579"/>
      <c r="AE522" s="1578"/>
      <c r="AJ522" s="1578"/>
      <c r="AK522" s="1580"/>
    </row>
    <row r="523" spans="3:37" s="1577" customFormat="1" hidden="1" x14ac:dyDescent="0.2">
      <c r="C523" s="1578"/>
      <c r="F523" s="1577" t="s">
        <v>3908</v>
      </c>
      <c r="G523" s="1578"/>
      <c r="H523" s="1600">
        <f>OR_Eingabe!$M$53</f>
        <v>1</v>
      </c>
      <c r="U523" s="1578"/>
      <c r="Z523" s="1579"/>
      <c r="AE523" s="1578"/>
      <c r="AJ523" s="1578"/>
      <c r="AK523" s="1580"/>
    </row>
    <row r="524" spans="3:37" s="1577" customFormat="1" hidden="1" x14ac:dyDescent="0.2">
      <c r="C524" s="1578"/>
      <c r="F524" s="1577" t="s">
        <v>3904</v>
      </c>
      <c r="G524" s="1578"/>
      <c r="H524" s="1578" t="str">
        <f>VLOOKUP(OR_Eingabe!$M$53,Vorfruechte!$C$23:$P$132,Vorfruechte!$D$2,FALSE)</f>
        <v>Sonstige Vorfrucht</v>
      </c>
      <c r="U524" s="1578"/>
      <c r="Z524" s="1579"/>
      <c r="AE524" s="1578"/>
      <c r="AJ524" s="1578"/>
      <c r="AK524" s="1580"/>
    </row>
    <row r="525" spans="3:37" s="1577" customFormat="1" hidden="1" x14ac:dyDescent="0.2">
      <c r="C525" s="1578"/>
      <c r="F525" s="1577" t="s">
        <v>4082</v>
      </c>
      <c r="G525" s="1578"/>
      <c r="H525" s="1578" t="str">
        <f>Vorfruechte!E178</f>
        <v>Nein</v>
      </c>
      <c r="U525" s="1578"/>
      <c r="Z525" s="1579"/>
      <c r="AE525" s="1578"/>
      <c r="AJ525" s="1578"/>
      <c r="AK525" s="1580"/>
    </row>
    <row r="526" spans="3:37" s="1577" customFormat="1" ht="15" hidden="1" x14ac:dyDescent="0.25">
      <c r="C526" s="1578"/>
      <c r="F526" s="1589" t="s">
        <v>3919</v>
      </c>
      <c r="G526" s="1618"/>
      <c r="H526" s="1589">
        <f>Vorfruechte!$F$180</f>
        <v>0</v>
      </c>
      <c r="I526" s="1577" t="s">
        <v>3309</v>
      </c>
      <c r="U526" s="1578"/>
      <c r="Z526" s="1579"/>
      <c r="AE526" s="1578"/>
      <c r="AJ526" s="1578"/>
      <c r="AK526" s="1580"/>
    </row>
    <row r="527" spans="3:37" s="1577" customFormat="1" ht="15" hidden="1" x14ac:dyDescent="0.25">
      <c r="C527" s="1578"/>
      <c r="F527" s="1589"/>
      <c r="G527" s="1618"/>
      <c r="H527" s="1589"/>
      <c r="U527" s="1578"/>
      <c r="Z527" s="1579"/>
      <c r="AE527" s="1578"/>
      <c r="AJ527" s="1578"/>
      <c r="AK527" s="1580"/>
    </row>
    <row r="528" spans="3:37" s="1577" customFormat="1" ht="15" hidden="1" x14ac:dyDescent="0.25">
      <c r="C528" s="1578"/>
      <c r="F528" s="1589" t="s">
        <v>4563</v>
      </c>
      <c r="G528" s="1618"/>
      <c r="H528" s="1589">
        <f>Zwfru!G56</f>
        <v>0</v>
      </c>
      <c r="I528" s="1577" t="s">
        <v>3309</v>
      </c>
      <c r="U528" s="1578"/>
      <c r="Z528" s="1579"/>
      <c r="AE528" s="1578"/>
      <c r="AJ528" s="1578"/>
      <c r="AK528" s="1580"/>
    </row>
    <row r="529" spans="3:37" s="1577" customFormat="1" ht="15" hidden="1" x14ac:dyDescent="0.25">
      <c r="C529" s="1578"/>
      <c r="F529" s="1589"/>
      <c r="G529" s="1618"/>
      <c r="H529" s="1579" t="str">
        <f>Zwfru!E54</f>
        <v>auswählen !</v>
      </c>
      <c r="U529" s="1578"/>
      <c r="Z529" s="1579"/>
      <c r="AE529" s="1578"/>
      <c r="AJ529" s="1578"/>
      <c r="AK529" s="1580"/>
    </row>
    <row r="530" spans="3:37" s="1577" customFormat="1" ht="15" hidden="1" x14ac:dyDescent="0.25">
      <c r="C530" s="1578"/>
      <c r="F530" s="1589"/>
      <c r="G530" s="1618"/>
      <c r="H530" s="1589"/>
      <c r="U530" s="1578"/>
      <c r="Z530" s="1579"/>
      <c r="AE530" s="1578"/>
      <c r="AJ530" s="1578"/>
      <c r="AK530" s="1580"/>
    </row>
    <row r="531" spans="3:37" s="1577" customFormat="1" ht="15" hidden="1" x14ac:dyDescent="0.25">
      <c r="C531" s="1578"/>
      <c r="F531" s="1579" t="s">
        <v>4079</v>
      </c>
      <c r="G531" s="1618"/>
      <c r="H531" s="1579">
        <f>Vorfruechte!P178</f>
        <v>0</v>
      </c>
      <c r="I531" s="1577" t="s">
        <v>3565</v>
      </c>
      <c r="U531" s="1578"/>
      <c r="Z531" s="1579"/>
      <c r="AE531" s="1578"/>
      <c r="AJ531" s="1578"/>
      <c r="AK531" s="1580"/>
    </row>
    <row r="532" spans="3:37" s="1577" customFormat="1" ht="15" hidden="1" x14ac:dyDescent="0.25">
      <c r="C532" s="1578"/>
      <c r="F532" s="1579" t="s">
        <v>4080</v>
      </c>
      <c r="G532" s="1618"/>
      <c r="H532" s="1579">
        <f>Vorfruechte!P181</f>
        <v>0</v>
      </c>
      <c r="I532" s="1577" t="s">
        <v>3569</v>
      </c>
      <c r="U532" s="1578"/>
      <c r="Z532" s="1579"/>
      <c r="AE532" s="1578"/>
      <c r="AJ532" s="1578"/>
      <c r="AK532" s="1580"/>
    </row>
    <row r="533" spans="3:37" s="1577" customFormat="1" ht="15" hidden="1" x14ac:dyDescent="0.25">
      <c r="C533" s="1578"/>
      <c r="F533" s="1579" t="s">
        <v>4081</v>
      </c>
      <c r="G533" s="1618"/>
      <c r="H533" s="1579">
        <f>Vorfruechte!P184</f>
        <v>0</v>
      </c>
      <c r="I533" s="1577" t="s">
        <v>3309</v>
      </c>
      <c r="U533" s="1578"/>
      <c r="Z533" s="1579"/>
      <c r="AE533" s="1578"/>
      <c r="AJ533" s="1578"/>
      <c r="AK533" s="1580"/>
    </row>
    <row r="534" spans="3:37" s="1577" customFormat="1" ht="15" hidden="1" x14ac:dyDescent="0.25">
      <c r="C534" s="1578"/>
      <c r="F534" s="1589"/>
      <c r="G534" s="1618"/>
      <c r="H534" s="1589"/>
      <c r="U534" s="1578"/>
      <c r="Z534" s="1579"/>
      <c r="AE534" s="1578"/>
      <c r="AJ534" s="1578"/>
      <c r="AK534" s="1580"/>
    </row>
    <row r="535" spans="3:37" s="1577" customFormat="1" ht="15" hidden="1" x14ac:dyDescent="0.25">
      <c r="C535" s="1578"/>
      <c r="F535" s="1589"/>
      <c r="G535" s="1618"/>
      <c r="H535" s="1589"/>
      <c r="U535" s="1578"/>
      <c r="Z535" s="1579"/>
      <c r="AE535" s="1578"/>
      <c r="AJ535" s="1578"/>
      <c r="AK535" s="1580"/>
    </row>
    <row r="536" spans="3:37" s="1577" customFormat="1" ht="15" hidden="1" x14ac:dyDescent="0.25">
      <c r="C536" s="1578"/>
      <c r="F536" s="1589"/>
      <c r="G536" s="1618"/>
      <c r="H536" s="1589"/>
      <c r="U536" s="1578"/>
      <c r="Z536" s="1579"/>
      <c r="AE536" s="1578"/>
      <c r="AJ536" s="1578"/>
      <c r="AK536" s="1580"/>
    </row>
    <row r="537" spans="3:37" s="1577" customFormat="1" ht="15" hidden="1" x14ac:dyDescent="0.25">
      <c r="C537" s="1578"/>
      <c r="F537" s="1589"/>
      <c r="G537" s="1618"/>
      <c r="H537" s="1589"/>
      <c r="U537" s="1578"/>
      <c r="Z537" s="1579"/>
      <c r="AE537" s="1578"/>
      <c r="AJ537" s="1578"/>
      <c r="AK537" s="1580"/>
    </row>
    <row r="538" spans="3:37" s="1577" customFormat="1" ht="15" hidden="1" x14ac:dyDescent="0.25">
      <c r="C538" s="1578"/>
      <c r="F538" s="1589"/>
      <c r="G538" s="1618"/>
      <c r="H538" s="1589"/>
      <c r="U538" s="1578"/>
      <c r="Z538" s="1579"/>
      <c r="AE538" s="1578"/>
      <c r="AJ538" s="1578"/>
      <c r="AK538" s="1580"/>
    </row>
    <row r="539" spans="3:37" s="1577" customFormat="1" hidden="1" x14ac:dyDescent="0.2">
      <c r="C539" s="1578"/>
      <c r="G539" s="1578"/>
      <c r="U539" s="1578"/>
      <c r="Z539" s="1579"/>
      <c r="AE539" s="1578"/>
      <c r="AJ539" s="1578"/>
      <c r="AK539" s="1580"/>
    </row>
    <row r="540" spans="3:37" s="1577" customFormat="1" ht="15" hidden="1" x14ac:dyDescent="0.25">
      <c r="C540" s="1578"/>
      <c r="F540" s="1589" t="s">
        <v>3752</v>
      </c>
      <c r="G540" s="1578"/>
      <c r="U540" s="1578"/>
      <c r="Z540" s="1579"/>
      <c r="AE540" s="1578"/>
      <c r="AJ540" s="1578"/>
      <c r="AK540" s="1580"/>
    </row>
    <row r="541" spans="3:37" s="1577" customFormat="1" hidden="1" x14ac:dyDescent="0.2">
      <c r="C541" s="1578"/>
      <c r="F541" s="1579" t="s">
        <v>3923</v>
      </c>
      <c r="G541" s="1578"/>
      <c r="H541" s="1600">
        <f>OR_Eingabe!$M$41</f>
        <v>1</v>
      </c>
      <c r="U541" s="1578"/>
      <c r="Z541" s="1579"/>
      <c r="AE541" s="1578"/>
      <c r="AJ541" s="1578"/>
      <c r="AK541" s="1580"/>
    </row>
    <row r="542" spans="3:37" s="1577" customFormat="1" hidden="1" x14ac:dyDescent="0.2">
      <c r="C542" s="1578"/>
      <c r="F542" s="1577" t="s">
        <v>26</v>
      </c>
      <c r="G542" s="1578"/>
      <c r="H542" s="1588" t="str">
        <f>Due_org!$D$198</f>
        <v>keine organ./organ.-mineral. Düngung</v>
      </c>
      <c r="U542" s="1578"/>
      <c r="Z542" s="1579"/>
      <c r="AE542" s="1578"/>
      <c r="AJ542" s="1578"/>
      <c r="AK542" s="1580"/>
    </row>
    <row r="543" spans="3:37" s="1577" customFormat="1" hidden="1" x14ac:dyDescent="0.2">
      <c r="C543" s="1578"/>
      <c r="F543" s="1577" t="s">
        <v>3735</v>
      </c>
      <c r="G543" s="1578"/>
      <c r="H543" s="1577">
        <f>Due_org!$I$201</f>
        <v>0</v>
      </c>
      <c r="I543" s="1577">
        <f>Due_org!$H$198</f>
        <v>0</v>
      </c>
      <c r="U543" s="1578"/>
      <c r="Z543" s="1579"/>
      <c r="AE543" s="1578"/>
      <c r="AJ543" s="1578"/>
      <c r="AK543" s="1580"/>
    </row>
    <row r="544" spans="3:37" s="1577" customFormat="1" hidden="1" x14ac:dyDescent="0.2">
      <c r="C544" s="1578"/>
      <c r="F544" s="1577" t="s">
        <v>3746</v>
      </c>
      <c r="G544" s="1578"/>
      <c r="H544" s="1577">
        <f>Due_org!$I$204</f>
        <v>0</v>
      </c>
      <c r="I544" s="1577">
        <f>Due_org!H204</f>
        <v>0</v>
      </c>
      <c r="U544" s="1578"/>
      <c r="Z544" s="1579"/>
      <c r="AE544" s="1578"/>
      <c r="AJ544" s="1578"/>
      <c r="AK544" s="1580"/>
    </row>
    <row r="545" spans="3:37" s="1577" customFormat="1" hidden="1" x14ac:dyDescent="0.2">
      <c r="C545" s="1578"/>
      <c r="F545" s="1577" t="s">
        <v>3744</v>
      </c>
      <c r="G545" s="1578"/>
      <c r="H545" s="1577">
        <f>Due_org!$I$207</f>
        <v>0</v>
      </c>
      <c r="U545" s="1578"/>
      <c r="Z545" s="1579"/>
      <c r="AE545" s="1578"/>
      <c r="AJ545" s="1578"/>
      <c r="AK545" s="1580"/>
    </row>
    <row r="546" spans="3:37" s="1577" customFormat="1" hidden="1" x14ac:dyDescent="0.2">
      <c r="C546" s="1578"/>
      <c r="F546" s="1577" t="s">
        <v>3745</v>
      </c>
      <c r="G546" s="1578"/>
      <c r="H546" s="1577">
        <f>Due_org!$I$208</f>
        <v>0</v>
      </c>
      <c r="I546" s="1577" t="s">
        <v>3309</v>
      </c>
      <c r="U546" s="1578"/>
      <c r="Z546" s="1579"/>
      <c r="AE546" s="1578"/>
      <c r="AJ546" s="1578"/>
      <c r="AK546" s="1580"/>
    </row>
    <row r="547" spans="3:37" s="1577" customFormat="1" hidden="1" x14ac:dyDescent="0.2">
      <c r="C547" s="1578"/>
      <c r="G547" s="1578"/>
      <c r="U547" s="1578"/>
      <c r="Z547" s="1579"/>
      <c r="AE547" s="1578"/>
      <c r="AJ547" s="1578"/>
      <c r="AK547" s="1580"/>
    </row>
    <row r="548" spans="3:37" s="1577" customFormat="1" hidden="1" x14ac:dyDescent="0.2">
      <c r="C548" s="1578"/>
      <c r="G548" s="1578"/>
      <c r="H548" s="1577">
        <f>Due_org!K205</f>
        <v>0</v>
      </c>
      <c r="I548" s="1577">
        <f>Due_org!$H$198</f>
        <v>0</v>
      </c>
      <c r="U548" s="1578"/>
      <c r="Z548" s="1579"/>
      <c r="AE548" s="1578"/>
      <c r="AJ548" s="1578"/>
      <c r="AK548" s="1580"/>
    </row>
    <row r="549" spans="3:37" s="1577" customFormat="1" hidden="1" x14ac:dyDescent="0.2">
      <c r="C549" s="1578"/>
      <c r="G549" s="1578"/>
      <c r="H549" s="1577">
        <f>Due_org!$K$206</f>
        <v>0</v>
      </c>
      <c r="I549" s="1577" t="s">
        <v>3565</v>
      </c>
      <c r="U549" s="1578"/>
      <c r="Z549" s="1579"/>
      <c r="AE549" s="1578"/>
      <c r="AJ549" s="1578"/>
      <c r="AK549" s="1580"/>
    </row>
    <row r="550" spans="3:37" s="1577" customFormat="1" hidden="1" x14ac:dyDescent="0.2">
      <c r="C550" s="1578"/>
      <c r="G550" s="1578"/>
      <c r="H550" s="1577">
        <f>Due_org!L205</f>
        <v>0</v>
      </c>
      <c r="I550" s="1577">
        <f>Due_org!$H$198</f>
        <v>0</v>
      </c>
      <c r="U550" s="1578"/>
      <c r="Z550" s="1579"/>
      <c r="AE550" s="1578"/>
      <c r="AJ550" s="1578"/>
      <c r="AK550" s="1580"/>
    </row>
    <row r="551" spans="3:37" s="1577" customFormat="1" hidden="1" x14ac:dyDescent="0.2">
      <c r="C551" s="1578"/>
      <c r="G551" s="1578"/>
      <c r="H551" s="1577">
        <f>Due_org!$L$206</f>
        <v>0</v>
      </c>
      <c r="I551" s="1577" t="s">
        <v>3569</v>
      </c>
      <c r="U551" s="1578"/>
      <c r="Z551" s="1579"/>
      <c r="AE551" s="1578"/>
      <c r="AJ551" s="1578"/>
      <c r="AK551" s="1580"/>
    </row>
    <row r="552" spans="3:37" s="1577" customFormat="1" hidden="1" x14ac:dyDescent="0.2">
      <c r="C552" s="1578"/>
      <c r="G552" s="1578"/>
      <c r="H552" s="1577">
        <f>Due_org!M205</f>
        <v>0</v>
      </c>
      <c r="I552" s="1577">
        <f>Due_org!$H$198</f>
        <v>0</v>
      </c>
      <c r="U552" s="1578"/>
      <c r="Z552" s="1579"/>
      <c r="AE552" s="1578"/>
      <c r="AJ552" s="1578"/>
      <c r="AK552" s="1580"/>
    </row>
    <row r="553" spans="3:37" s="1577" customFormat="1" hidden="1" x14ac:dyDescent="0.2">
      <c r="C553" s="1578"/>
      <c r="G553" s="1578"/>
      <c r="H553" s="1577">
        <f>Due_org!$M$206</f>
        <v>0</v>
      </c>
      <c r="I553" s="1577" t="s">
        <v>3573</v>
      </c>
      <c r="U553" s="1578"/>
      <c r="Z553" s="1579"/>
      <c r="AE553" s="1578"/>
      <c r="AJ553" s="1578"/>
      <c r="AK553" s="1580"/>
    </row>
    <row r="554" spans="3:37" s="1577" customFormat="1" hidden="1" x14ac:dyDescent="0.2">
      <c r="C554" s="1578"/>
      <c r="G554" s="1578"/>
      <c r="U554" s="1578"/>
      <c r="Z554" s="1579"/>
      <c r="AE554" s="1578"/>
      <c r="AJ554" s="1578"/>
      <c r="AK554" s="1580"/>
    </row>
    <row r="555" spans="3:37" s="1577" customFormat="1" ht="15" hidden="1" x14ac:dyDescent="0.25">
      <c r="C555" s="1578"/>
      <c r="F555" s="1589" t="s">
        <v>3922</v>
      </c>
      <c r="G555" s="1578"/>
      <c r="U555" s="1578"/>
      <c r="Z555" s="1579"/>
      <c r="AE555" s="1578"/>
      <c r="AJ555" s="1578"/>
      <c r="AK555" s="1580"/>
    </row>
    <row r="556" spans="3:37" s="1577" customFormat="1" hidden="1" x14ac:dyDescent="0.2">
      <c r="C556" s="1578"/>
      <c r="F556" s="1579" t="s">
        <v>3923</v>
      </c>
      <c r="G556" s="1578"/>
      <c r="H556" s="1600">
        <f>OR_Eingabe!$M$45</f>
        <v>1</v>
      </c>
      <c r="U556" s="1578"/>
      <c r="Z556" s="1579"/>
      <c r="AE556" s="1578"/>
      <c r="AJ556" s="1578"/>
      <c r="AK556" s="1580"/>
    </row>
    <row r="557" spans="3:37" s="1577" customFormat="1" hidden="1" x14ac:dyDescent="0.2">
      <c r="C557" s="1578"/>
      <c r="F557" s="1577" t="s">
        <v>26</v>
      </c>
      <c r="G557" s="1578"/>
      <c r="H557" s="1588" t="str">
        <f>Due_org!$D$214</f>
        <v>keine organ./organ.-mineral. Düngung</v>
      </c>
      <c r="U557" s="1578"/>
      <c r="Z557" s="1579"/>
      <c r="AE557" s="1578"/>
      <c r="AJ557" s="1578"/>
      <c r="AK557" s="1580"/>
    </row>
    <row r="558" spans="3:37" s="1577" customFormat="1" hidden="1" x14ac:dyDescent="0.2">
      <c r="C558" s="1578"/>
      <c r="F558" s="1577" t="s">
        <v>3735</v>
      </c>
      <c r="G558" s="1578"/>
      <c r="H558" s="1577">
        <f>Due_org!$I$217</f>
        <v>0</v>
      </c>
      <c r="I558" s="1577">
        <f>Due_org!H214</f>
        <v>0</v>
      </c>
      <c r="U558" s="1578"/>
      <c r="Z558" s="1579"/>
      <c r="AE558" s="1578"/>
      <c r="AJ558" s="1578"/>
      <c r="AK558" s="1580"/>
    </row>
    <row r="559" spans="3:37" s="1577" customFormat="1" hidden="1" x14ac:dyDescent="0.2">
      <c r="C559" s="1578"/>
      <c r="F559" s="1577" t="s">
        <v>3746</v>
      </c>
      <c r="G559" s="1578"/>
      <c r="H559" s="1577">
        <f>Due_org!$I$220</f>
        <v>0</v>
      </c>
      <c r="I559" s="1577">
        <f>Due_org!H220</f>
        <v>0</v>
      </c>
      <c r="U559" s="1578"/>
      <c r="Z559" s="1579"/>
      <c r="AE559" s="1578"/>
      <c r="AJ559" s="1578"/>
      <c r="AK559" s="1580"/>
    </row>
    <row r="560" spans="3:37" s="1577" customFormat="1" hidden="1" x14ac:dyDescent="0.2">
      <c r="C560" s="1578"/>
      <c r="F560" s="1577" t="s">
        <v>3744</v>
      </c>
      <c r="G560" s="1578"/>
      <c r="H560" s="1602">
        <f>Due_org!$I$223</f>
        <v>0</v>
      </c>
      <c r="U560" s="1578"/>
      <c r="Z560" s="1579"/>
      <c r="AE560" s="1578"/>
      <c r="AJ560" s="1578"/>
      <c r="AK560" s="1580"/>
    </row>
    <row r="561" spans="3:37" s="1577" customFormat="1" hidden="1" x14ac:dyDescent="0.2">
      <c r="C561" s="1578"/>
      <c r="F561" s="1577" t="s">
        <v>3745</v>
      </c>
      <c r="G561" s="1578"/>
      <c r="H561" s="1577">
        <f>Due_org!I224</f>
        <v>0</v>
      </c>
      <c r="I561" s="1577" t="s">
        <v>4073</v>
      </c>
      <c r="U561" s="1578"/>
      <c r="Z561" s="1579"/>
      <c r="AE561" s="1578"/>
      <c r="AJ561" s="1578"/>
      <c r="AK561" s="1580"/>
    </row>
    <row r="562" spans="3:37" s="1577" customFormat="1" hidden="1" x14ac:dyDescent="0.2">
      <c r="C562" s="1578"/>
      <c r="G562" s="1578"/>
      <c r="H562" s="1577">
        <f>Due_org!K222</f>
        <v>0</v>
      </c>
      <c r="I562" s="1577" t="s">
        <v>3565</v>
      </c>
      <c r="U562" s="1578"/>
      <c r="Z562" s="1579"/>
      <c r="AE562" s="1578"/>
      <c r="AJ562" s="1578"/>
      <c r="AK562" s="1580"/>
    </row>
    <row r="563" spans="3:37" s="1577" customFormat="1" hidden="1" x14ac:dyDescent="0.2">
      <c r="C563" s="1578"/>
      <c r="G563" s="1578"/>
      <c r="H563" s="1577">
        <f>Due_org!L222</f>
        <v>0</v>
      </c>
      <c r="I563" s="1577" t="s">
        <v>3569</v>
      </c>
      <c r="U563" s="1578"/>
      <c r="Z563" s="1579"/>
      <c r="AE563" s="1578"/>
      <c r="AJ563" s="1578"/>
      <c r="AK563" s="1580"/>
    </row>
    <row r="564" spans="3:37" s="1577" customFormat="1" hidden="1" x14ac:dyDescent="0.2">
      <c r="C564" s="1578"/>
      <c r="G564" s="1578"/>
      <c r="H564" s="1577">
        <f>Due_org!M222</f>
        <v>0</v>
      </c>
      <c r="I564" s="1577" t="s">
        <v>3573</v>
      </c>
      <c r="U564" s="1578"/>
      <c r="Z564" s="1579"/>
      <c r="AE564" s="1578"/>
      <c r="AJ564" s="1578"/>
      <c r="AK564" s="1580"/>
    </row>
    <row r="565" spans="3:37" s="1577" customFormat="1" hidden="1" x14ac:dyDescent="0.2">
      <c r="C565" s="1578"/>
      <c r="G565" s="1578"/>
      <c r="U565" s="1578"/>
      <c r="Z565" s="1579"/>
      <c r="AE565" s="1578"/>
      <c r="AJ565" s="1578"/>
      <c r="AK565" s="1580"/>
    </row>
    <row r="566" spans="3:37" s="1577" customFormat="1" ht="15" hidden="1" x14ac:dyDescent="0.25">
      <c r="C566" s="1578"/>
      <c r="F566" s="1589" t="s">
        <v>4530</v>
      </c>
      <c r="G566" s="1578"/>
      <c r="U566" s="1578"/>
      <c r="Z566" s="1579"/>
      <c r="AE566" s="1578"/>
      <c r="AJ566" s="1578"/>
      <c r="AK566" s="1580"/>
    </row>
    <row r="567" spans="3:37" s="1577" customFormat="1" hidden="1" x14ac:dyDescent="0.2">
      <c r="C567" s="1578"/>
      <c r="F567" s="1577" t="s">
        <v>26</v>
      </c>
      <c r="G567" s="1578"/>
      <c r="H567" s="1577" t="str">
        <f>Due_org!$D$228</f>
        <v>keine Düngung mit Kompost</v>
      </c>
      <c r="U567" s="1578"/>
      <c r="Z567" s="1579"/>
      <c r="AE567" s="1578"/>
      <c r="AJ567" s="1578"/>
      <c r="AK567" s="1580"/>
    </row>
    <row r="568" spans="3:37" s="1577" customFormat="1" hidden="1" x14ac:dyDescent="0.2">
      <c r="C568" s="1578"/>
      <c r="F568" s="1577" t="s">
        <v>3735</v>
      </c>
      <c r="G568" s="1578"/>
      <c r="H568" s="1577">
        <f>Due_org!$I$231</f>
        <v>0</v>
      </c>
      <c r="I568" s="1577">
        <f>Due_org!$H$148</f>
        <v>0</v>
      </c>
      <c r="U568" s="1578"/>
      <c r="Z568" s="1579"/>
      <c r="AE568" s="1578"/>
      <c r="AJ568" s="1578"/>
      <c r="AK568" s="1580"/>
    </row>
    <row r="569" spans="3:37" s="1577" customFormat="1" hidden="1" x14ac:dyDescent="0.2">
      <c r="C569" s="1578"/>
      <c r="F569" s="1577" t="s">
        <v>3746</v>
      </c>
      <c r="G569" s="1578"/>
      <c r="H569" s="1577">
        <f>SUM(Due_org!$I$235:$K$235)</f>
        <v>0</v>
      </c>
      <c r="I569" s="1577">
        <f>Due_org!$H$151</f>
        <v>0</v>
      </c>
      <c r="U569" s="1578"/>
      <c r="Z569" s="1579"/>
      <c r="AE569" s="1578"/>
      <c r="AJ569" s="1578"/>
      <c r="AK569" s="1580"/>
    </row>
    <row r="570" spans="3:37" s="1577" customFormat="1" hidden="1" x14ac:dyDescent="0.2">
      <c r="C570" s="1578"/>
      <c r="F570" s="1577" t="s">
        <v>3742</v>
      </c>
      <c r="G570" s="1578"/>
      <c r="H570" s="1577">
        <f>SUM(Due_org!$I$236:$K$236)</f>
        <v>0</v>
      </c>
      <c r="I570" s="1577" t="s">
        <v>3703</v>
      </c>
      <c r="U570" s="1578"/>
      <c r="Z570" s="1579"/>
      <c r="AE570" s="1578"/>
      <c r="AJ570" s="1578"/>
      <c r="AK570" s="1580"/>
    </row>
    <row r="571" spans="3:37" s="1577" customFormat="1" hidden="1" x14ac:dyDescent="0.2">
      <c r="C571" s="1578"/>
      <c r="F571" s="1577" t="s">
        <v>3744</v>
      </c>
      <c r="G571" s="1578"/>
      <c r="H571" s="1583" t="e">
        <f>SUMPRODUCT(Due_org!$I$236:$K$236,Due_org!$I$237:$K$237)/SUM(Due_org!$I$236:$K$236)</f>
        <v>#DIV/0!</v>
      </c>
      <c r="U571" s="1578"/>
      <c r="Z571" s="1579"/>
      <c r="AE571" s="1578"/>
      <c r="AJ571" s="1578"/>
      <c r="AK571" s="1580"/>
    </row>
    <row r="572" spans="3:37" s="1577" customFormat="1" ht="15" hidden="1" x14ac:dyDescent="0.25">
      <c r="C572" s="1578"/>
      <c r="F572" s="1589" t="s">
        <v>4535</v>
      </c>
      <c r="G572" s="1618"/>
      <c r="H572" s="1589">
        <f>IF($H$228=0,0,ROUND(Due_org!$I$240*-1,0))</f>
        <v>0</v>
      </c>
      <c r="I572" s="1589" t="s">
        <v>3748</v>
      </c>
      <c r="U572" s="1578"/>
      <c r="Z572" s="1579"/>
      <c r="AE572" s="1578"/>
      <c r="AJ572" s="1578"/>
      <c r="AK572" s="1580"/>
    </row>
    <row r="573" spans="3:37" s="1577" customFormat="1" hidden="1" x14ac:dyDescent="0.2">
      <c r="C573" s="1578"/>
      <c r="G573" s="1578"/>
      <c r="U573" s="1578"/>
      <c r="Z573" s="1579"/>
      <c r="AE573" s="1578"/>
      <c r="AJ573" s="1578"/>
      <c r="AK573" s="1580"/>
    </row>
    <row r="574" spans="3:37" s="1577" customFormat="1" ht="15" hidden="1" x14ac:dyDescent="0.25">
      <c r="C574" s="1578"/>
      <c r="F574" s="1589" t="s">
        <v>3751</v>
      </c>
      <c r="G574" s="1578"/>
      <c r="H574" s="1577">
        <f>H546+H561+H572</f>
        <v>0</v>
      </c>
      <c r="I574" s="1577" t="s">
        <v>3309</v>
      </c>
      <c r="U574" s="1578"/>
      <c r="Z574" s="1579"/>
      <c r="AE574" s="1578"/>
      <c r="AJ574" s="1578"/>
      <c r="AK574" s="1580"/>
    </row>
    <row r="575" spans="3:37" s="1577" customFormat="1" hidden="1" x14ac:dyDescent="0.2">
      <c r="C575" s="1578"/>
      <c r="G575" s="1578"/>
      <c r="U575" s="1578"/>
      <c r="Z575" s="1579"/>
      <c r="AE575" s="1578"/>
      <c r="AJ575" s="1578"/>
      <c r="AK575" s="1580"/>
    </row>
    <row r="576" spans="3:37" s="1577" customFormat="1" hidden="1" x14ac:dyDescent="0.2">
      <c r="C576" s="1578"/>
      <c r="G576" s="1578"/>
      <c r="U576" s="1578"/>
      <c r="Z576" s="1579"/>
      <c r="AE576" s="1578"/>
      <c r="AJ576" s="1578"/>
      <c r="AK576" s="1580"/>
    </row>
    <row r="577" spans="3:37" s="1577" customFormat="1" ht="15" hidden="1" x14ac:dyDescent="0.25">
      <c r="C577" s="1578"/>
      <c r="F577" s="1589" t="s">
        <v>4029</v>
      </c>
      <c r="G577" s="1578"/>
      <c r="U577" s="1578"/>
      <c r="Z577" s="1579"/>
      <c r="AE577" s="1578"/>
      <c r="AJ577" s="1578"/>
      <c r="AK577" s="1580"/>
    </row>
    <row r="578" spans="3:37" s="1577" customFormat="1" hidden="1" x14ac:dyDescent="0.2">
      <c r="C578" s="1578"/>
      <c r="G578" s="1578"/>
      <c r="U578" s="1578"/>
      <c r="Z578" s="1579"/>
      <c r="AE578" s="1578"/>
      <c r="AJ578" s="1578"/>
      <c r="AK578" s="1580"/>
    </row>
    <row r="579" spans="3:37" s="1577" customFormat="1" hidden="1" x14ac:dyDescent="0.2">
      <c r="C579" s="1578"/>
      <c r="F579" s="1577" t="s">
        <v>3926</v>
      </c>
      <c r="G579" s="1578"/>
      <c r="H579" s="1647">
        <v>0.04</v>
      </c>
      <c r="U579" s="1578"/>
      <c r="Z579" s="1579"/>
      <c r="AE579" s="1578"/>
      <c r="AJ579" s="1578"/>
      <c r="AK579" s="1580"/>
    </row>
    <row r="580" spans="3:37" s="1577" customFormat="1" hidden="1" x14ac:dyDescent="0.2">
      <c r="C580" s="1578"/>
      <c r="G580" s="1578"/>
      <c r="H580" s="1647">
        <v>1.4999999999999999E-2</v>
      </c>
      <c r="U580" s="1578"/>
      <c r="Z580" s="1579"/>
      <c r="AE580" s="1578"/>
      <c r="AJ580" s="1578"/>
      <c r="AK580" s="1580"/>
    </row>
    <row r="581" spans="3:37" s="1577" customFormat="1" ht="15" hidden="1" x14ac:dyDescent="0.25">
      <c r="C581" s="1578"/>
      <c r="F581" s="1589" t="s">
        <v>3765</v>
      </c>
      <c r="G581" s="1618"/>
      <c r="H581" s="1648">
        <f>OR_Eingabe!$C$35</f>
        <v>0</v>
      </c>
      <c r="U581" s="1578"/>
      <c r="Z581" s="1579"/>
      <c r="AE581" s="1578"/>
      <c r="AJ581" s="1578"/>
      <c r="AK581" s="1580"/>
    </row>
    <row r="582" spans="3:37" s="1577" customFormat="1" hidden="1" x14ac:dyDescent="0.2">
      <c r="C582" s="1578"/>
      <c r="G582" s="1578"/>
      <c r="U582" s="1578"/>
      <c r="Z582" s="1579"/>
      <c r="AE582" s="1578"/>
      <c r="AJ582" s="1578"/>
      <c r="AK582" s="1580"/>
    </row>
    <row r="583" spans="3:37" s="1577" customFormat="1" ht="16.5" hidden="1" x14ac:dyDescent="0.3">
      <c r="C583" s="1578"/>
      <c r="F583" s="1649" t="s">
        <v>4485</v>
      </c>
      <c r="G583" s="1578"/>
      <c r="H583" s="1577">
        <f>Humus!I21</f>
        <v>-20</v>
      </c>
      <c r="I583" s="1577" t="s">
        <v>3917</v>
      </c>
      <c r="N583" s="1577">
        <v>30</v>
      </c>
      <c r="O583" s="1577" t="s">
        <v>4121</v>
      </c>
      <c r="P583" s="1650" t="s">
        <v>3770</v>
      </c>
      <c r="U583" s="1578"/>
      <c r="Z583" s="1579"/>
      <c r="AE583" s="1578"/>
      <c r="AJ583" s="1578"/>
      <c r="AK583" s="1580"/>
    </row>
    <row r="584" spans="3:37" s="1577" customFormat="1" hidden="1" x14ac:dyDescent="0.2">
      <c r="C584" s="1578"/>
      <c r="F584" s="1577" t="s">
        <v>3927</v>
      </c>
      <c r="G584" s="1578"/>
      <c r="H584" s="1577">
        <v>30</v>
      </c>
      <c r="I584" s="1577" t="s">
        <v>3917</v>
      </c>
      <c r="U584" s="1578"/>
      <c r="Z584" s="1579"/>
      <c r="AE584" s="1578"/>
      <c r="AJ584" s="1578"/>
      <c r="AK584" s="1580"/>
    </row>
    <row r="585" spans="3:37" s="1577" customFormat="1" hidden="1" x14ac:dyDescent="0.2">
      <c r="C585" s="1578"/>
      <c r="F585" s="1579" t="s">
        <v>3928</v>
      </c>
      <c r="G585" s="1578"/>
      <c r="H585" s="1577">
        <v>10</v>
      </c>
      <c r="I585" s="1577" t="s">
        <v>3917</v>
      </c>
      <c r="N585" s="1577">
        <f>IF(H604=1,0,H584)</f>
        <v>0</v>
      </c>
      <c r="O585" s="1577" t="s">
        <v>4122</v>
      </c>
      <c r="P585" s="1650" t="s">
        <v>4489</v>
      </c>
      <c r="U585" s="1578"/>
      <c r="Z585" s="1579"/>
      <c r="AE585" s="1578"/>
      <c r="AJ585" s="1578"/>
      <c r="AK585" s="1580"/>
    </row>
    <row r="586" spans="3:37" s="1577" customFormat="1" ht="15" hidden="1" x14ac:dyDescent="0.25">
      <c r="C586" s="1578"/>
      <c r="F586" s="1589" t="s">
        <v>4027</v>
      </c>
      <c r="G586" s="1578"/>
      <c r="H586" s="1589">
        <f>IF($H$581&lt;$H$580,$N$583,IF($H$581&gt;$H$579,$N$587,$N$585))</f>
        <v>30</v>
      </c>
      <c r="I586" s="1589" t="s">
        <v>3917</v>
      </c>
      <c r="J586" s="1589"/>
      <c r="U586" s="1578"/>
      <c r="Z586" s="1579"/>
      <c r="AE586" s="1578"/>
      <c r="AJ586" s="1578"/>
      <c r="AK586" s="1580"/>
    </row>
    <row r="587" spans="3:37" s="1577" customFormat="1" hidden="1" x14ac:dyDescent="0.2">
      <c r="C587" s="1578"/>
      <c r="F587" s="1594" t="s">
        <v>4124</v>
      </c>
      <c r="G587" s="1578"/>
      <c r="H587" s="1594">
        <f>IF($H$581&lt;$H$580,$H$584,IF($H$581&gt;$H$579,IF($H$604=1,$H$583,$H$585),IF(H604=1,0,H584)))</f>
        <v>30</v>
      </c>
      <c r="I587" s="1594" t="s">
        <v>3917</v>
      </c>
      <c r="N587" s="1577">
        <f>IF(H604=1,H583,H585)</f>
        <v>-20</v>
      </c>
      <c r="O587" s="1577" t="s">
        <v>4123</v>
      </c>
      <c r="P587" s="1650" t="s">
        <v>4490</v>
      </c>
      <c r="U587" s="1578"/>
      <c r="Z587" s="1579"/>
      <c r="AE587" s="1578"/>
      <c r="AJ587" s="1578"/>
      <c r="AK587" s="1580"/>
    </row>
    <row r="588" spans="3:37" s="1577" customFormat="1" hidden="1" x14ac:dyDescent="0.2">
      <c r="C588" s="1578"/>
      <c r="F588" s="1594"/>
      <c r="G588" s="1578"/>
      <c r="H588" s="1594"/>
      <c r="I588" s="1594"/>
      <c r="P588" s="1650"/>
      <c r="U588" s="1578"/>
      <c r="Z588" s="1579"/>
      <c r="AE588" s="1578"/>
      <c r="AJ588" s="1578"/>
      <c r="AK588" s="1580"/>
    </row>
    <row r="589" spans="3:37" s="1577" customFormat="1" ht="15" hidden="1" x14ac:dyDescent="0.25">
      <c r="C589" s="1578"/>
      <c r="F589" s="1589" t="s">
        <v>4028</v>
      </c>
      <c r="G589" s="1578"/>
      <c r="U589" s="1578"/>
      <c r="Z589" s="1579"/>
      <c r="AE589" s="1578"/>
      <c r="AJ589" s="1578"/>
      <c r="AK589" s="1580"/>
    </row>
    <row r="590" spans="3:37" s="1577" customFormat="1" hidden="1" x14ac:dyDescent="0.2">
      <c r="C590" s="1578"/>
      <c r="F590" s="1577" t="s">
        <v>4030</v>
      </c>
      <c r="G590" s="1578"/>
      <c r="H590" s="1591">
        <v>0.04</v>
      </c>
      <c r="N590" s="1650"/>
      <c r="U590" s="1578"/>
      <c r="Z590" s="1579"/>
      <c r="AE590" s="1578"/>
      <c r="AJ590" s="1578"/>
      <c r="AK590" s="1580"/>
    </row>
    <row r="591" spans="3:37" s="1577" customFormat="1" ht="16.5" hidden="1" x14ac:dyDescent="0.3">
      <c r="C591" s="1578"/>
      <c r="F591" s="1649" t="s">
        <v>4485</v>
      </c>
      <c r="G591" s="1578"/>
      <c r="H591" s="1577">
        <f>Humus!I18</f>
        <v>-20</v>
      </c>
      <c r="I591" s="1577" t="s">
        <v>3917</v>
      </c>
      <c r="U591" s="1578"/>
      <c r="Z591" s="1579"/>
      <c r="AE591" s="1578"/>
      <c r="AJ591" s="1578"/>
      <c r="AK591" s="1580"/>
    </row>
    <row r="592" spans="3:37" s="1577" customFormat="1" ht="15" hidden="1" x14ac:dyDescent="0.25">
      <c r="C592" s="1578"/>
      <c r="F592" s="1589" t="s">
        <v>3765</v>
      </c>
      <c r="G592" s="1618"/>
      <c r="H592" s="1648">
        <f>OR_Eingabe!$C$35</f>
        <v>0</v>
      </c>
      <c r="U592" s="1578"/>
      <c r="Z592" s="1579"/>
      <c r="AE592" s="1578"/>
      <c r="AJ592" s="1578"/>
      <c r="AK592" s="1580"/>
    </row>
    <row r="593" spans="3:37" s="1577" customFormat="1" ht="15" hidden="1" x14ac:dyDescent="0.25">
      <c r="C593" s="1578"/>
      <c r="F593" s="1589" t="s">
        <v>4031</v>
      </c>
      <c r="G593" s="1578"/>
      <c r="H593" s="1589">
        <f>IF(H595&gt;3,H591,IF($H$592&lt;=$H$590,0,$H$591))</f>
        <v>0</v>
      </c>
      <c r="I593" s="1589" t="s">
        <v>3917</v>
      </c>
      <c r="J593" s="1589"/>
      <c r="N593" s="1650" t="s">
        <v>4119</v>
      </c>
      <c r="U593" s="1578"/>
      <c r="Z593" s="1579"/>
      <c r="AE593" s="1578"/>
      <c r="AJ593" s="1578"/>
      <c r="AK593" s="1580"/>
    </row>
    <row r="594" spans="3:37" s="1577" customFormat="1" ht="15" hidden="1" x14ac:dyDescent="0.25">
      <c r="C594" s="1578"/>
      <c r="F594" s="1589"/>
      <c r="G594" s="1578"/>
      <c r="U594" s="1578"/>
      <c r="Z594" s="1579"/>
      <c r="AE594" s="1578"/>
      <c r="AJ594" s="1578"/>
      <c r="AK594" s="1580"/>
    </row>
    <row r="595" spans="3:37" s="1577" customFormat="1" hidden="1" x14ac:dyDescent="0.2">
      <c r="C595" s="1578"/>
      <c r="E595" s="1651" t="s">
        <v>4118</v>
      </c>
      <c r="F595" s="1652"/>
      <c r="H595" s="1653">
        <f>OR_Eingabe!$M$34</f>
        <v>0</v>
      </c>
      <c r="N595" s="1650" t="s">
        <v>4120</v>
      </c>
      <c r="O595" s="1650"/>
      <c r="P595" s="1650"/>
      <c r="Q595" s="1650"/>
      <c r="U595" s="1578"/>
      <c r="Z595" s="1579"/>
      <c r="AE595" s="1578"/>
      <c r="AJ595" s="1578"/>
      <c r="AK595" s="1580"/>
    </row>
    <row r="596" spans="3:37" s="1577" customFormat="1" hidden="1" x14ac:dyDescent="0.2">
      <c r="C596" s="1578"/>
      <c r="E596" s="1654" t="s">
        <v>4117</v>
      </c>
      <c r="F596" s="1652"/>
      <c r="U596" s="1578"/>
      <c r="Z596" s="1579"/>
      <c r="AE596" s="1578"/>
      <c r="AJ596" s="1578"/>
      <c r="AK596" s="1580"/>
    </row>
    <row r="597" spans="3:37" s="1577" customFormat="1" ht="15" hidden="1" x14ac:dyDescent="0.25">
      <c r="C597" s="1578"/>
      <c r="F597" s="1589"/>
      <c r="G597" s="1578"/>
      <c r="U597" s="1578"/>
      <c r="Z597" s="1579"/>
      <c r="AE597" s="1578"/>
      <c r="AJ597" s="1578"/>
      <c r="AK597" s="1580"/>
    </row>
    <row r="598" spans="3:37" s="1577" customFormat="1" ht="15" hidden="1" x14ac:dyDescent="0.25">
      <c r="C598" s="1578"/>
      <c r="F598" s="1589"/>
      <c r="G598" s="1578"/>
      <c r="U598" s="1578"/>
      <c r="Z598" s="1579"/>
      <c r="AE598" s="1578"/>
      <c r="AJ598" s="1578"/>
      <c r="AK598" s="1580"/>
    </row>
    <row r="599" spans="3:37" s="1577" customFormat="1" ht="15" hidden="1" x14ac:dyDescent="0.25">
      <c r="C599" s="1578"/>
      <c r="F599" s="1599" t="s">
        <v>4032</v>
      </c>
      <c r="G599" s="1578"/>
      <c r="H599" s="1589">
        <f>IF($H$479="Reben",$H$586,$H$593)</f>
        <v>0</v>
      </c>
      <c r="I599" s="1589" t="s">
        <v>3917</v>
      </c>
      <c r="J599" s="1589"/>
      <c r="U599" s="1578"/>
      <c r="Z599" s="1579"/>
      <c r="AE599" s="1578"/>
      <c r="AJ599" s="1578"/>
      <c r="AK599" s="1580"/>
    </row>
    <row r="600" spans="3:37" s="1577" customFormat="1" ht="15" hidden="1" x14ac:dyDescent="0.25">
      <c r="C600" s="1578"/>
      <c r="F600" s="1589"/>
      <c r="G600" s="1578"/>
      <c r="U600" s="1578"/>
      <c r="Z600" s="1579"/>
      <c r="AE600" s="1578"/>
      <c r="AJ600" s="1578"/>
      <c r="AK600" s="1580"/>
    </row>
    <row r="601" spans="3:37" s="1577" customFormat="1" ht="15" hidden="1" x14ac:dyDescent="0.25">
      <c r="C601" s="1578"/>
      <c r="F601" s="1589" t="s">
        <v>3930</v>
      </c>
      <c r="G601" s="1578"/>
      <c r="U601" s="1578"/>
      <c r="Z601" s="1579"/>
      <c r="AE601" s="1578"/>
      <c r="AJ601" s="1578"/>
      <c r="AK601" s="1580"/>
    </row>
    <row r="602" spans="3:37" s="1577" customFormat="1" hidden="1" x14ac:dyDescent="0.2">
      <c r="C602" s="1578"/>
      <c r="E602" s="1605">
        <v>1</v>
      </c>
      <c r="F602" s="1577" t="s">
        <v>3590</v>
      </c>
      <c r="G602" s="1578"/>
      <c r="U602" s="1578"/>
      <c r="Z602" s="1579"/>
      <c r="AE602" s="1578"/>
      <c r="AJ602" s="1578"/>
      <c r="AK602" s="1580"/>
    </row>
    <row r="603" spans="3:37" s="1577" customFormat="1" hidden="1" x14ac:dyDescent="0.2">
      <c r="C603" s="1578"/>
      <c r="E603" s="1605">
        <f>E602+1</f>
        <v>2</v>
      </c>
      <c r="F603" s="1577" t="s">
        <v>3593</v>
      </c>
      <c r="G603" s="1578"/>
      <c r="U603" s="1578"/>
      <c r="Z603" s="1579"/>
      <c r="AE603" s="1578"/>
      <c r="AJ603" s="1578"/>
      <c r="AK603" s="1580"/>
    </row>
    <row r="604" spans="3:37" s="1577" customFormat="1" ht="15" hidden="1" x14ac:dyDescent="0.25">
      <c r="C604" s="1578"/>
      <c r="F604" s="1579" t="s">
        <v>3513</v>
      </c>
      <c r="G604" s="1578"/>
      <c r="H604" s="1655">
        <f>OR_Eingabe!$M$60</f>
        <v>1</v>
      </c>
      <c r="U604" s="1578"/>
      <c r="Z604" s="1579"/>
      <c r="AE604" s="1578"/>
      <c r="AJ604" s="1578"/>
      <c r="AK604" s="1580"/>
    </row>
    <row r="605" spans="3:37" s="1577" customFormat="1" hidden="1" x14ac:dyDescent="0.2">
      <c r="C605" s="1578"/>
      <c r="F605" s="1579" t="s">
        <v>3929</v>
      </c>
      <c r="G605" s="1578"/>
      <c r="H605" s="1578" t="str">
        <f>VLOOKUP($H$604,$E$602:$F$603,$F$8,FALSE)</f>
        <v>Nein</v>
      </c>
      <c r="U605" s="1578"/>
      <c r="Z605" s="1579"/>
      <c r="AE605" s="1578"/>
      <c r="AJ605" s="1578"/>
      <c r="AK605" s="1580"/>
    </row>
    <row r="606" spans="3:37" s="1577" customFormat="1" ht="15" hidden="1" x14ac:dyDescent="0.25">
      <c r="C606" s="1578"/>
      <c r="F606" s="1589"/>
      <c r="G606" s="1578"/>
      <c r="U606" s="1578"/>
      <c r="Z606" s="1579"/>
      <c r="AE606" s="1578"/>
      <c r="AJ606" s="1578"/>
      <c r="AK606" s="1580"/>
    </row>
    <row r="607" spans="3:37" s="1577" customFormat="1" ht="15" hidden="1" x14ac:dyDescent="0.25">
      <c r="C607" s="1578"/>
      <c r="F607" s="1589"/>
      <c r="G607" s="1578"/>
      <c r="U607" s="1578"/>
      <c r="Z607" s="1579"/>
      <c r="AE607" s="1578"/>
      <c r="AJ607" s="1578"/>
      <c r="AK607" s="1580"/>
    </row>
    <row r="608" spans="3:37" s="1577" customFormat="1" ht="15" hidden="1" x14ac:dyDescent="0.25">
      <c r="C608" s="1578"/>
      <c r="F608" s="1589" t="s">
        <v>4036</v>
      </c>
      <c r="G608" s="1578"/>
      <c r="U608" s="1578"/>
      <c r="Z608" s="1579"/>
      <c r="AE608" s="1578"/>
      <c r="AJ608" s="1578"/>
      <c r="AK608" s="1580"/>
    </row>
    <row r="609" spans="3:37" s="1577" customFormat="1" hidden="1" x14ac:dyDescent="0.2">
      <c r="C609" s="1578"/>
      <c r="G609" s="1578"/>
      <c r="U609" s="1578"/>
      <c r="Z609" s="1579"/>
      <c r="AE609" s="1578"/>
      <c r="AJ609" s="1578"/>
      <c r="AK609" s="1580"/>
    </row>
    <row r="610" spans="3:37" s="1577" customFormat="1" hidden="1" x14ac:dyDescent="0.2">
      <c r="C610" s="1578"/>
      <c r="E610" s="1605">
        <v>1</v>
      </c>
      <c r="F610" s="1577" t="s">
        <v>3590</v>
      </c>
      <c r="G610" s="1578"/>
      <c r="U610" s="1578"/>
      <c r="Z610" s="1579"/>
      <c r="AE610" s="1578"/>
      <c r="AJ610" s="1578"/>
      <c r="AK610" s="1580"/>
    </row>
    <row r="611" spans="3:37" s="1577" customFormat="1" hidden="1" x14ac:dyDescent="0.2">
      <c r="C611" s="1578"/>
      <c r="E611" s="1605">
        <f>E610+1</f>
        <v>2</v>
      </c>
      <c r="F611" s="1577" t="s">
        <v>3593</v>
      </c>
      <c r="G611" s="1578"/>
      <c r="U611" s="1578"/>
      <c r="Z611" s="1579"/>
      <c r="AE611" s="1578"/>
      <c r="AJ611" s="1578"/>
      <c r="AK611" s="1580"/>
    </row>
    <row r="612" spans="3:37" s="1577" customFormat="1" hidden="1" x14ac:dyDescent="0.2">
      <c r="C612" s="1578"/>
      <c r="G612" s="1578"/>
      <c r="U612" s="1578"/>
      <c r="Z612" s="1579"/>
      <c r="AE612" s="1578"/>
      <c r="AJ612" s="1578"/>
      <c r="AK612" s="1580"/>
    </row>
    <row r="613" spans="3:37" s="1577" customFormat="1" hidden="1" x14ac:dyDescent="0.2">
      <c r="C613" s="1578"/>
      <c r="E613" s="1605"/>
      <c r="F613" s="1579" t="s">
        <v>3513</v>
      </c>
      <c r="G613" s="1578"/>
      <c r="H613" s="1581">
        <f>OR_Eingabe!$M$61</f>
        <v>1</v>
      </c>
      <c r="U613" s="1578"/>
      <c r="Z613" s="1579"/>
      <c r="AE613" s="1578"/>
      <c r="AJ613" s="1578"/>
      <c r="AK613" s="1580"/>
    </row>
    <row r="614" spans="3:37" s="1577" customFormat="1" hidden="1" x14ac:dyDescent="0.2">
      <c r="C614" s="1578"/>
      <c r="E614" s="1605"/>
      <c r="F614" s="1579" t="s">
        <v>3929</v>
      </c>
      <c r="G614" s="1578"/>
      <c r="H614" s="1578" t="str">
        <f>VLOOKUP($H$613,$E$610:$F$611,$F$8,FALSE)</f>
        <v>Nein</v>
      </c>
      <c r="U614" s="1578"/>
      <c r="Z614" s="1579"/>
      <c r="AE614" s="1578"/>
      <c r="AJ614" s="1578"/>
      <c r="AK614" s="1580"/>
    </row>
    <row r="615" spans="3:37" s="1577" customFormat="1" hidden="1" x14ac:dyDescent="0.2">
      <c r="C615" s="1578"/>
      <c r="F615" s="1579" t="s">
        <v>3931</v>
      </c>
      <c r="G615" s="1578"/>
      <c r="H615" s="1577">
        <v>-35</v>
      </c>
      <c r="I615" s="1577" t="s">
        <v>3917</v>
      </c>
      <c r="U615" s="1578"/>
      <c r="Z615" s="1579"/>
      <c r="AE615" s="1578"/>
      <c r="AJ615" s="1578"/>
      <c r="AK615" s="1580"/>
    </row>
    <row r="616" spans="3:37" s="1577" customFormat="1" ht="15" hidden="1" x14ac:dyDescent="0.25">
      <c r="C616" s="1578"/>
      <c r="F616" s="1589" t="s">
        <v>3543</v>
      </c>
      <c r="G616" s="1618"/>
      <c r="H616" s="1589">
        <f>IF(AND($H$479="Reben",$H$613=2),$H$615,0)</f>
        <v>0</v>
      </c>
      <c r="I616" s="1589" t="s">
        <v>3917</v>
      </c>
      <c r="J616" s="1589"/>
      <c r="U616" s="1578"/>
      <c r="Z616" s="1579"/>
      <c r="AE616" s="1578"/>
      <c r="AJ616" s="1578"/>
      <c r="AK616" s="1580"/>
    </row>
    <row r="617" spans="3:37" s="1577" customFormat="1" ht="15" hidden="1" x14ac:dyDescent="0.25">
      <c r="C617" s="1578"/>
      <c r="F617" s="1589"/>
      <c r="G617" s="1618"/>
      <c r="H617" s="1589"/>
      <c r="I617" s="1589"/>
      <c r="J617" s="1589"/>
      <c r="U617" s="1578"/>
      <c r="Z617" s="1579"/>
      <c r="AE617" s="1578"/>
      <c r="AJ617" s="1578"/>
      <c r="AK617" s="1580"/>
    </row>
    <row r="618" spans="3:37" s="1577" customFormat="1" ht="15" hidden="1" x14ac:dyDescent="0.25">
      <c r="C618" s="1578"/>
      <c r="F618" s="1589"/>
      <c r="G618" s="1618"/>
      <c r="H618" s="1589"/>
      <c r="I618" s="1589"/>
      <c r="J618" s="1589"/>
      <c r="U618" s="1578"/>
      <c r="Z618" s="1579"/>
      <c r="AE618" s="1578"/>
      <c r="AJ618" s="1578"/>
      <c r="AK618" s="1580"/>
    </row>
    <row r="619" spans="3:37" s="1577" customFormat="1" hidden="1" x14ac:dyDescent="0.2">
      <c r="C619" s="1578"/>
      <c r="F619" s="1579"/>
      <c r="G619" s="1578"/>
      <c r="U619" s="1578"/>
      <c r="Z619" s="1579"/>
      <c r="AE619" s="1578"/>
      <c r="AJ619" s="1578"/>
      <c r="AK619" s="1580"/>
    </row>
    <row r="620" spans="3:37" s="1577" customFormat="1" ht="15" hidden="1" x14ac:dyDescent="0.25">
      <c r="C620" s="1578"/>
      <c r="F620" s="1656" t="s">
        <v>3582</v>
      </c>
      <c r="G620" s="1578"/>
      <c r="U620" s="1578"/>
      <c r="Z620" s="1579"/>
      <c r="AE620" s="1578"/>
      <c r="AJ620" s="1578"/>
      <c r="AK620" s="1580"/>
    </row>
    <row r="621" spans="3:37" s="1577" customFormat="1" ht="15" hidden="1" x14ac:dyDescent="0.25">
      <c r="C621" s="1578"/>
      <c r="F621" s="1656" t="s">
        <v>3584</v>
      </c>
      <c r="G621" s="1578"/>
      <c r="U621" s="1578"/>
      <c r="Z621" s="1579"/>
      <c r="AE621" s="1578"/>
      <c r="AJ621" s="1578"/>
      <c r="AK621" s="1580"/>
    </row>
    <row r="622" spans="3:37" s="1577" customFormat="1" ht="15" hidden="1" x14ac:dyDescent="0.25">
      <c r="C622" s="1578"/>
      <c r="F622" s="1656" t="s">
        <v>3692</v>
      </c>
      <c r="G622" s="1578"/>
      <c r="H622" s="1577">
        <v>20</v>
      </c>
      <c r="I622" s="1577" t="s">
        <v>3309</v>
      </c>
      <c r="U622" s="1578"/>
      <c r="Z622" s="1579"/>
      <c r="AE622" s="1578"/>
      <c r="AJ622" s="1578"/>
      <c r="AK622" s="1580"/>
    </row>
    <row r="623" spans="3:37" s="1577" customFormat="1" hidden="1" x14ac:dyDescent="0.2">
      <c r="C623" s="1578"/>
      <c r="F623" s="1657" t="s">
        <v>4034</v>
      </c>
      <c r="G623" s="1578"/>
      <c r="U623" s="1578"/>
      <c r="Z623" s="1579"/>
      <c r="AE623" s="1578"/>
      <c r="AJ623" s="1578"/>
      <c r="AK623" s="1580"/>
    </row>
    <row r="624" spans="3:37" s="1577" customFormat="1" ht="15" hidden="1" x14ac:dyDescent="0.25">
      <c r="C624" s="1578"/>
      <c r="F624" s="1656"/>
      <c r="G624" s="1578"/>
      <c r="U624" s="1578"/>
      <c r="Z624" s="1579"/>
      <c r="AE624" s="1578"/>
      <c r="AJ624" s="1578"/>
      <c r="AK624" s="1580"/>
    </row>
    <row r="625" spans="3:37" s="1577" customFormat="1" hidden="1" x14ac:dyDescent="0.2">
      <c r="C625" s="1578"/>
      <c r="E625" s="1577" t="s">
        <v>4035</v>
      </c>
      <c r="G625" s="1578"/>
      <c r="U625" s="1578"/>
      <c r="Z625" s="1579"/>
      <c r="AE625" s="1578"/>
      <c r="AJ625" s="1578"/>
      <c r="AK625" s="1580"/>
    </row>
    <row r="626" spans="3:37" s="1577" customFormat="1" hidden="1" x14ac:dyDescent="0.2">
      <c r="C626" s="1578"/>
      <c r="E626" s="1605">
        <v>1</v>
      </c>
      <c r="F626" s="1577" t="str">
        <f>IF($H$480="Erdbeeren","Nein","entfällt")</f>
        <v>entfällt</v>
      </c>
      <c r="G626" s="1578"/>
      <c r="U626" s="1578"/>
      <c r="Z626" s="1579"/>
      <c r="AE626" s="1578"/>
      <c r="AJ626" s="1578"/>
      <c r="AK626" s="1580"/>
    </row>
    <row r="627" spans="3:37" s="1577" customFormat="1" hidden="1" x14ac:dyDescent="0.2">
      <c r="C627" s="1578"/>
      <c r="E627" s="1605">
        <f>E626+1</f>
        <v>2</v>
      </c>
      <c r="F627" s="1577" t="str">
        <f>IF($H$480="Erdbeeren","Ja","entfällt")</f>
        <v>entfällt</v>
      </c>
      <c r="G627" s="1578"/>
      <c r="U627" s="1578"/>
      <c r="Z627" s="1579"/>
      <c r="AE627" s="1578"/>
      <c r="AJ627" s="1578"/>
      <c r="AK627" s="1580"/>
    </row>
    <row r="628" spans="3:37" s="1577" customFormat="1" hidden="1" x14ac:dyDescent="0.2">
      <c r="C628" s="1578"/>
      <c r="G628" s="1596" t="s">
        <v>3513</v>
      </c>
      <c r="H628" s="1658">
        <f>OR_Eingabe!$M$63</f>
        <v>1</v>
      </c>
      <c r="U628" s="1578"/>
      <c r="Z628" s="1579"/>
      <c r="AE628" s="1578"/>
      <c r="AJ628" s="1578"/>
      <c r="AK628" s="1580"/>
    </row>
    <row r="629" spans="3:37" s="1577" customFormat="1" hidden="1" x14ac:dyDescent="0.2">
      <c r="C629" s="1578"/>
      <c r="G629" s="1596" t="s">
        <v>3925</v>
      </c>
      <c r="H629" s="1596" t="str">
        <f>VLOOKUP($H$628,$E$626:$F$627,F8,FALSE)</f>
        <v>entfällt</v>
      </c>
      <c r="U629" s="1578"/>
      <c r="Z629" s="1579"/>
      <c r="AE629" s="1578"/>
      <c r="AJ629" s="1578"/>
      <c r="AK629" s="1580"/>
    </row>
    <row r="630" spans="3:37" s="1577" customFormat="1" hidden="1" x14ac:dyDescent="0.2">
      <c r="C630" s="1578"/>
      <c r="G630" s="1596" t="s">
        <v>3543</v>
      </c>
      <c r="H630" s="1577">
        <f>IF(AND($H$476="Erdbeeren-Frühjahr",H628=2),$H$622,0)</f>
        <v>0</v>
      </c>
      <c r="U630" s="1578"/>
      <c r="Z630" s="1579"/>
      <c r="AE630" s="1578"/>
      <c r="AJ630" s="1578"/>
      <c r="AK630" s="1580"/>
    </row>
    <row r="631" spans="3:37" s="1577" customFormat="1" hidden="1" x14ac:dyDescent="0.2">
      <c r="C631" s="1578"/>
      <c r="G631" s="1596"/>
      <c r="U631" s="1578"/>
      <c r="Z631" s="1579"/>
      <c r="AE631" s="1578"/>
      <c r="AJ631" s="1578"/>
      <c r="AK631" s="1580"/>
    </row>
    <row r="632" spans="3:37" s="1577" customFormat="1" ht="15" hidden="1" x14ac:dyDescent="0.25">
      <c r="C632" s="1578"/>
      <c r="F632" s="1589" t="s">
        <v>4361</v>
      </c>
      <c r="H632" s="1598" t="e">
        <f>OR_Ergebnis!J21+OR_Ergebnis!J32+OR_Ergebnis!J25+OR_Ergebnis!J27+OR_Ergebnis!J24+OR_Ergebnis!J34+OR_Ergebnis!J35+OR_Ergebnis!J23+OR_Ergebnis!J29+OR_Ergebnis!J33</f>
        <v>#VALUE!</v>
      </c>
      <c r="I632" s="1589" t="s">
        <v>3309</v>
      </c>
      <c r="U632" s="1578"/>
      <c r="Z632" s="1579"/>
      <c r="AE632" s="1578"/>
      <c r="AJ632" s="1578"/>
      <c r="AK632" s="1580"/>
    </row>
    <row r="633" spans="3:37" s="1577" customFormat="1" hidden="1" x14ac:dyDescent="0.2">
      <c r="C633" s="1578"/>
      <c r="U633" s="1578"/>
      <c r="Z633" s="1579"/>
      <c r="AE633" s="1578"/>
      <c r="AJ633" s="1578"/>
      <c r="AK633" s="1580"/>
    </row>
    <row r="634" spans="3:37" s="1606" customFormat="1" ht="15" hidden="1" x14ac:dyDescent="0.25">
      <c r="C634" s="1607"/>
      <c r="F634" s="1608" t="s">
        <v>3650</v>
      </c>
      <c r="G634" s="1607"/>
      <c r="H634" s="1608" t="str">
        <f>H476</f>
        <v>auswählen !</v>
      </c>
      <c r="U634" s="1607"/>
      <c r="Z634" s="1609"/>
      <c r="AE634" s="1607"/>
      <c r="AJ634" s="1607"/>
      <c r="AK634" s="1610"/>
    </row>
    <row r="635" spans="3:37" s="1606" customFormat="1" hidden="1" x14ac:dyDescent="0.2">
      <c r="C635" s="1607"/>
      <c r="G635" s="1607"/>
      <c r="U635" s="1607"/>
      <c r="Z635" s="1609"/>
      <c r="AE635" s="1607"/>
      <c r="AJ635" s="1607"/>
      <c r="AK635" s="1610"/>
    </row>
    <row r="636" spans="3:37" s="1606" customFormat="1" hidden="1" x14ac:dyDescent="0.2">
      <c r="C636" s="1607"/>
      <c r="F636" s="1606" t="s">
        <v>4049</v>
      </c>
      <c r="G636" s="1607"/>
      <c r="H636" s="1606">
        <f>OR_Eingabe!F24</f>
        <v>0</v>
      </c>
      <c r="I636" s="1606" t="s">
        <v>3479</v>
      </c>
      <c r="U636" s="1607"/>
      <c r="Z636" s="1609"/>
      <c r="AE636" s="1607"/>
      <c r="AJ636" s="1607"/>
      <c r="AK636" s="1610"/>
    </row>
    <row r="637" spans="3:37" s="1606" customFormat="1" hidden="1" x14ac:dyDescent="0.2">
      <c r="C637" s="1607"/>
      <c r="F637" s="1606" t="s">
        <v>4205</v>
      </c>
      <c r="G637" s="1607"/>
      <c r="H637" s="1606">
        <f>VLOOKUP(OR_Eingabe!$M$22,$E$78:$AL$93,$T$8,FALSE)</f>
        <v>0</v>
      </c>
      <c r="I637" s="1606" t="s">
        <v>3479</v>
      </c>
      <c r="U637" s="1607"/>
      <c r="Z637" s="1609"/>
      <c r="AE637" s="1607"/>
      <c r="AJ637" s="1607"/>
      <c r="AK637" s="1610"/>
    </row>
    <row r="638" spans="3:37" s="1606" customFormat="1" hidden="1" x14ac:dyDescent="0.2">
      <c r="C638" s="1607"/>
      <c r="F638" s="1606" t="s">
        <v>3741</v>
      </c>
      <c r="G638" s="1607"/>
      <c r="H638" s="1611">
        <f>IF(H636&gt;0,H636,H637)</f>
        <v>0</v>
      </c>
      <c r="I638" s="1606" t="s">
        <v>3479</v>
      </c>
      <c r="U638" s="1607"/>
      <c r="Z638" s="1609"/>
      <c r="AE638" s="1607"/>
      <c r="AJ638" s="1607"/>
      <c r="AK638" s="1610"/>
    </row>
    <row r="639" spans="3:37" s="1606" customFormat="1" hidden="1" x14ac:dyDescent="0.2">
      <c r="C639" s="1607"/>
      <c r="G639" s="1607"/>
      <c r="U639" s="1607"/>
      <c r="Z639" s="1609"/>
      <c r="AE639" s="1607"/>
      <c r="AJ639" s="1607"/>
      <c r="AK639" s="1610"/>
    </row>
    <row r="640" spans="3:37" s="1606" customFormat="1" hidden="1" x14ac:dyDescent="0.2">
      <c r="C640" s="1607"/>
      <c r="F640" s="1606" t="s">
        <v>4050</v>
      </c>
      <c r="G640" s="1607"/>
      <c r="H640" s="1659">
        <f>VLOOKUP(OR_Eingabe!$M$22,$E$78:$AL$94,$J$8,FALSE)</f>
        <v>0</v>
      </c>
      <c r="I640" s="1606" t="s">
        <v>4051</v>
      </c>
      <c r="U640" s="1607"/>
      <c r="Z640" s="1609"/>
      <c r="AE640" s="1607"/>
      <c r="AJ640" s="1607"/>
      <c r="AK640" s="1610"/>
    </row>
    <row r="641" spans="3:37" s="1606" customFormat="1" hidden="1" x14ac:dyDescent="0.2">
      <c r="C641" s="1607"/>
      <c r="F641" s="1606" t="s">
        <v>4052</v>
      </c>
      <c r="G641" s="1607"/>
      <c r="H641" s="1611">
        <f>$H$638*H640</f>
        <v>0</v>
      </c>
      <c r="I641" s="1606" t="s">
        <v>3565</v>
      </c>
      <c r="U641" s="1607"/>
      <c r="Z641" s="1609"/>
      <c r="AE641" s="1607"/>
      <c r="AJ641" s="1607"/>
      <c r="AK641" s="1610"/>
    </row>
    <row r="642" spans="3:37" s="1606" customFormat="1" hidden="1" x14ac:dyDescent="0.2">
      <c r="C642" s="1607"/>
      <c r="F642" s="1606" t="s">
        <v>3704</v>
      </c>
      <c r="G642" s="1607"/>
      <c r="H642" s="1611">
        <f>VLOOKUP(OR_Eingabe!$M$22,$E$78:$AL$94,$Q$8,FALSE)</f>
        <v>0</v>
      </c>
      <c r="I642" s="1606" t="s">
        <v>3565</v>
      </c>
      <c r="U642" s="1607"/>
      <c r="Z642" s="1609"/>
      <c r="AE642" s="1607"/>
      <c r="AJ642" s="1607"/>
      <c r="AK642" s="1610"/>
    </row>
    <row r="643" spans="3:37" s="1606" customFormat="1" ht="15" hidden="1" x14ac:dyDescent="0.25">
      <c r="C643" s="1607"/>
      <c r="F643" s="1608" t="s">
        <v>4053</v>
      </c>
      <c r="G643" s="1638"/>
      <c r="H643" s="1660">
        <f>H641+H642</f>
        <v>0</v>
      </c>
      <c r="I643" s="1608" t="s">
        <v>3565</v>
      </c>
      <c r="J643" s="1608"/>
      <c r="U643" s="1607"/>
      <c r="Z643" s="1609"/>
      <c r="AE643" s="1607"/>
      <c r="AJ643" s="1607"/>
      <c r="AK643" s="1610"/>
    </row>
    <row r="644" spans="3:37" s="1606" customFormat="1" ht="15" hidden="1" x14ac:dyDescent="0.25">
      <c r="C644" s="1607"/>
      <c r="F644" s="1609" t="s">
        <v>4060</v>
      </c>
      <c r="G644" s="1638"/>
      <c r="H644" s="1661" t="str">
        <f>IF(OR_Eingabe!H35&gt;0,PKMg!B32,"")</f>
        <v/>
      </c>
      <c r="I644" s="1608"/>
      <c r="J644" s="1608"/>
      <c r="K644" s="1606" t="s">
        <v>4334</v>
      </c>
      <c r="U644" s="1607"/>
      <c r="Z644" s="1609"/>
      <c r="AE644" s="1607"/>
      <c r="AJ644" s="1607"/>
      <c r="AK644" s="1610"/>
    </row>
    <row r="645" spans="3:37" s="1606" customFormat="1" ht="15" hidden="1" x14ac:dyDescent="0.25">
      <c r="C645" s="1607"/>
      <c r="F645" s="1609" t="s">
        <v>4061</v>
      </c>
      <c r="G645" s="1638"/>
      <c r="H645" s="1661" t="str">
        <f>IF(OR_Eingabe!H35&gt;0,PKMg!B26,"")</f>
        <v/>
      </c>
      <c r="I645" s="1608"/>
      <c r="J645" s="1608"/>
      <c r="K645" s="1606" t="s">
        <v>4334</v>
      </c>
      <c r="U645" s="1607"/>
      <c r="Z645" s="1609"/>
      <c r="AE645" s="1607"/>
      <c r="AJ645" s="1607"/>
      <c r="AK645" s="1610"/>
    </row>
    <row r="646" spans="3:37" s="1606" customFormat="1" ht="15" hidden="1" x14ac:dyDescent="0.25">
      <c r="C646" s="1607"/>
      <c r="F646" s="1609" t="s">
        <v>4070</v>
      </c>
      <c r="G646" s="1638"/>
      <c r="H646" s="1661">
        <f>IF(OR_Eingabe!H35&gt;0,PKMg!L311,0)</f>
        <v>0</v>
      </c>
      <c r="I646" s="1606" t="s">
        <v>3565</v>
      </c>
      <c r="J646" s="1608"/>
      <c r="K646" s="1606" t="s">
        <v>4334</v>
      </c>
      <c r="U646" s="1607"/>
      <c r="Z646" s="1609"/>
      <c r="AE646" s="1607"/>
      <c r="AJ646" s="1607"/>
      <c r="AK646" s="1610"/>
    </row>
    <row r="647" spans="3:37" s="1606" customFormat="1" ht="15" hidden="1" x14ac:dyDescent="0.25">
      <c r="C647" s="1607"/>
      <c r="F647" s="1609" t="s">
        <v>4065</v>
      </c>
      <c r="G647" s="1638"/>
      <c r="H647" s="1661" t="s">
        <v>3911</v>
      </c>
      <c r="I647" s="1606" t="s">
        <v>3565</v>
      </c>
      <c r="J647" s="1608"/>
      <c r="U647" s="1607"/>
      <c r="Z647" s="1609"/>
      <c r="AE647" s="1607"/>
      <c r="AJ647" s="1607"/>
      <c r="AK647" s="1610"/>
    </row>
    <row r="648" spans="3:37" s="1606" customFormat="1" ht="15" hidden="1" x14ac:dyDescent="0.25">
      <c r="C648" s="1607"/>
      <c r="F648" s="1608" t="s">
        <v>4066</v>
      </c>
      <c r="G648" s="1638"/>
      <c r="H648" s="1662">
        <f>H643+H646</f>
        <v>0</v>
      </c>
      <c r="I648" s="1608" t="s">
        <v>3565</v>
      </c>
      <c r="J648" s="1608"/>
      <c r="U648" s="1607"/>
      <c r="Z648" s="1609"/>
      <c r="AE648" s="1607"/>
      <c r="AJ648" s="1607"/>
      <c r="AK648" s="1610"/>
    </row>
    <row r="649" spans="3:37" s="1606" customFormat="1" hidden="1" x14ac:dyDescent="0.2">
      <c r="C649" s="1607"/>
      <c r="G649" s="1607"/>
      <c r="U649" s="1607"/>
      <c r="Z649" s="1609"/>
      <c r="AE649" s="1607"/>
      <c r="AJ649" s="1607"/>
      <c r="AK649" s="1610"/>
    </row>
    <row r="650" spans="3:37" s="1606" customFormat="1" hidden="1" x14ac:dyDescent="0.2">
      <c r="C650" s="1607"/>
      <c r="F650" s="1606" t="s">
        <v>4054</v>
      </c>
      <c r="G650" s="1607"/>
      <c r="H650" s="1659">
        <f>VLOOKUP(OR_Eingabe!$M$22,$E$78:$AL$94,$L$8,FALSE)</f>
        <v>0</v>
      </c>
      <c r="I650" s="1606" t="s">
        <v>4055</v>
      </c>
      <c r="U650" s="1607"/>
      <c r="Z650" s="1609"/>
      <c r="AE650" s="1607"/>
      <c r="AJ650" s="1607"/>
      <c r="AK650" s="1610"/>
    </row>
    <row r="651" spans="3:37" s="1606" customFormat="1" hidden="1" x14ac:dyDescent="0.2">
      <c r="C651" s="1607"/>
      <c r="F651" s="1606" t="s">
        <v>4052</v>
      </c>
      <c r="G651" s="1607"/>
      <c r="H651" s="1611">
        <f>$H$638*H650</f>
        <v>0</v>
      </c>
      <c r="I651" s="1606" t="s">
        <v>3569</v>
      </c>
      <c r="U651" s="1607"/>
      <c r="Z651" s="1609"/>
      <c r="AE651" s="1607"/>
      <c r="AJ651" s="1607"/>
      <c r="AK651" s="1610"/>
    </row>
    <row r="652" spans="3:37" s="1606" customFormat="1" hidden="1" x14ac:dyDescent="0.2">
      <c r="C652" s="1607"/>
      <c r="F652" s="1606" t="s">
        <v>3704</v>
      </c>
      <c r="G652" s="1607"/>
      <c r="H652" s="1611">
        <f>VLOOKUP(OR_Eingabe!$M$22,$E$78:$AL$94,$R$8,FALSE)</f>
        <v>0</v>
      </c>
      <c r="I652" s="1606" t="s">
        <v>3569</v>
      </c>
      <c r="U652" s="1607"/>
      <c r="Z652" s="1609"/>
      <c r="AE652" s="1607"/>
      <c r="AJ652" s="1607"/>
      <c r="AK652" s="1610"/>
    </row>
    <row r="653" spans="3:37" s="1606" customFormat="1" ht="15" hidden="1" x14ac:dyDescent="0.25">
      <c r="C653" s="1607"/>
      <c r="F653" s="1608" t="s">
        <v>4056</v>
      </c>
      <c r="G653" s="1638"/>
      <c r="H653" s="1660">
        <f>H651+H652</f>
        <v>0</v>
      </c>
      <c r="I653" s="1608" t="s">
        <v>3569</v>
      </c>
      <c r="J653" s="1608"/>
      <c r="U653" s="1607"/>
      <c r="Z653" s="1609"/>
      <c r="AE653" s="1607"/>
      <c r="AJ653" s="1607"/>
      <c r="AK653" s="1610"/>
    </row>
    <row r="654" spans="3:37" s="1606" customFormat="1" ht="15" hidden="1" x14ac:dyDescent="0.25">
      <c r="C654" s="1607"/>
      <c r="F654" s="1609" t="s">
        <v>4060</v>
      </c>
      <c r="G654" s="1638"/>
      <c r="H654" s="1661" t="str">
        <f>IF(OR_Eingabe!I35&gt;0,PKMg!C32,"")</f>
        <v/>
      </c>
      <c r="I654" s="1608"/>
      <c r="J654" s="1608"/>
      <c r="K654" s="1606" t="s">
        <v>4334</v>
      </c>
      <c r="U654" s="1607"/>
      <c r="Z654" s="1609"/>
      <c r="AE654" s="1607"/>
      <c r="AJ654" s="1607"/>
      <c r="AK654" s="1610"/>
    </row>
    <row r="655" spans="3:37" s="1606" customFormat="1" ht="15" hidden="1" x14ac:dyDescent="0.25">
      <c r="C655" s="1607"/>
      <c r="F655" s="1609" t="s">
        <v>4061</v>
      </c>
      <c r="G655" s="1638"/>
      <c r="H655" s="1661" t="str">
        <f>IF(OR_Eingabe!I35&gt;0,PKMg!C26,"")</f>
        <v/>
      </c>
      <c r="I655" s="1608"/>
      <c r="J655" s="1608"/>
      <c r="K655" s="1606" t="s">
        <v>4334</v>
      </c>
      <c r="U655" s="1607"/>
      <c r="Z655" s="1609"/>
      <c r="AE655" s="1607"/>
      <c r="AJ655" s="1607"/>
      <c r="AK655" s="1610"/>
    </row>
    <row r="656" spans="3:37" s="1606" customFormat="1" ht="15" hidden="1" x14ac:dyDescent="0.25">
      <c r="C656" s="1607"/>
      <c r="F656" s="1609" t="s">
        <v>4069</v>
      </c>
      <c r="G656" s="1638"/>
      <c r="H656" s="1661">
        <f>IF(OR_Eingabe!I35&gt;0,PKMg!M311,0)</f>
        <v>0</v>
      </c>
      <c r="I656" s="1606" t="s">
        <v>3569</v>
      </c>
      <c r="J656" s="1608"/>
      <c r="K656" s="1606" t="s">
        <v>4334</v>
      </c>
      <c r="U656" s="1607"/>
      <c r="Z656" s="1609"/>
      <c r="AE656" s="1607"/>
      <c r="AJ656" s="1607"/>
      <c r="AK656" s="1610"/>
    </row>
    <row r="657" spans="3:37" s="1606" customFormat="1" ht="15" hidden="1" x14ac:dyDescent="0.25">
      <c r="C657" s="1607"/>
      <c r="F657" s="1609" t="s">
        <v>4065</v>
      </c>
      <c r="G657" s="1638"/>
      <c r="H657" s="1661" t="s">
        <v>3911</v>
      </c>
      <c r="I657" s="1606" t="s">
        <v>3569</v>
      </c>
      <c r="J657" s="1608"/>
      <c r="U657" s="1607"/>
      <c r="Z657" s="1609"/>
      <c r="AE657" s="1607"/>
      <c r="AJ657" s="1607"/>
      <c r="AK657" s="1610"/>
    </row>
    <row r="658" spans="3:37" s="1606" customFormat="1" ht="15" hidden="1" x14ac:dyDescent="0.25">
      <c r="C658" s="1607"/>
      <c r="F658" s="1608" t="s">
        <v>4067</v>
      </c>
      <c r="G658" s="1638"/>
      <c r="H658" s="1662">
        <f>H653+H656</f>
        <v>0</v>
      </c>
      <c r="I658" s="1606" t="s">
        <v>3569</v>
      </c>
      <c r="J658" s="1608"/>
      <c r="U658" s="1607"/>
      <c r="Z658" s="1609"/>
      <c r="AE658" s="1607"/>
      <c r="AJ658" s="1607"/>
      <c r="AK658" s="1610"/>
    </row>
    <row r="659" spans="3:37" s="1606" customFormat="1" hidden="1" x14ac:dyDescent="0.2">
      <c r="C659" s="1607"/>
      <c r="G659" s="1607"/>
      <c r="U659" s="1607"/>
      <c r="Z659" s="1609"/>
      <c r="AE659" s="1607"/>
      <c r="AJ659" s="1607"/>
      <c r="AK659" s="1610"/>
    </row>
    <row r="660" spans="3:37" s="1606" customFormat="1" hidden="1" x14ac:dyDescent="0.2">
      <c r="C660" s="1607"/>
      <c r="F660" s="1606" t="s">
        <v>4057</v>
      </c>
      <c r="G660" s="1607"/>
      <c r="H660" s="1659">
        <f>VLOOKUP(OR_Eingabe!$M$22,$E$78:$AL$94,$N$8,FALSE)</f>
        <v>0</v>
      </c>
      <c r="I660" s="1606" t="s">
        <v>4058</v>
      </c>
      <c r="U660" s="1607"/>
      <c r="Z660" s="1609"/>
      <c r="AE660" s="1607"/>
      <c r="AJ660" s="1607"/>
      <c r="AK660" s="1610"/>
    </row>
    <row r="661" spans="3:37" s="1606" customFormat="1" hidden="1" x14ac:dyDescent="0.2">
      <c r="C661" s="1607"/>
      <c r="F661" s="1606" t="s">
        <v>4052</v>
      </c>
      <c r="G661" s="1607"/>
      <c r="H661" s="1611">
        <f>$H$638*H660</f>
        <v>0</v>
      </c>
      <c r="I661" s="1606" t="s">
        <v>3573</v>
      </c>
      <c r="U661" s="1607"/>
      <c r="Z661" s="1609"/>
      <c r="AE661" s="1607"/>
      <c r="AJ661" s="1607"/>
      <c r="AK661" s="1610"/>
    </row>
    <row r="662" spans="3:37" s="1606" customFormat="1" hidden="1" x14ac:dyDescent="0.2">
      <c r="C662" s="1607"/>
      <c r="F662" s="1606" t="s">
        <v>3704</v>
      </c>
      <c r="G662" s="1607"/>
      <c r="H662" s="1611">
        <f>VLOOKUP(OR_Eingabe!$M$22,$E$78:$AL$94,$S$8,FALSE)</f>
        <v>0</v>
      </c>
      <c r="I662" s="1606" t="s">
        <v>3573</v>
      </c>
      <c r="U662" s="1607"/>
      <c r="Z662" s="1609"/>
      <c r="AE662" s="1607"/>
      <c r="AJ662" s="1607"/>
      <c r="AK662" s="1610"/>
    </row>
    <row r="663" spans="3:37" s="1606" customFormat="1" ht="15" hidden="1" x14ac:dyDescent="0.25">
      <c r="C663" s="1607"/>
      <c r="F663" s="1608" t="s">
        <v>4059</v>
      </c>
      <c r="G663" s="1638"/>
      <c r="H663" s="1660">
        <f>H661+H662</f>
        <v>0</v>
      </c>
      <c r="I663" s="1608" t="s">
        <v>3573</v>
      </c>
      <c r="J663" s="1608"/>
      <c r="U663" s="1607"/>
      <c r="Z663" s="1609"/>
      <c r="AE663" s="1607"/>
      <c r="AJ663" s="1607"/>
      <c r="AK663" s="1610"/>
    </row>
    <row r="664" spans="3:37" s="1606" customFormat="1" ht="15" hidden="1" x14ac:dyDescent="0.25">
      <c r="C664" s="1607"/>
      <c r="F664" s="1609" t="s">
        <v>4060</v>
      </c>
      <c r="G664" s="1638"/>
      <c r="H664" s="1661" t="str">
        <f>IF(OR_Eingabe!J35&gt;0,PKMg!D32,"")</f>
        <v/>
      </c>
      <c r="K664" s="1606" t="s">
        <v>4334</v>
      </c>
      <c r="U664" s="1607"/>
      <c r="Z664" s="1609"/>
      <c r="AE664" s="1607"/>
      <c r="AJ664" s="1607"/>
      <c r="AK664" s="1610"/>
    </row>
    <row r="665" spans="3:37" s="1606" customFormat="1" ht="15" hidden="1" x14ac:dyDescent="0.25">
      <c r="C665" s="1607"/>
      <c r="F665" s="1609" t="s">
        <v>4061</v>
      </c>
      <c r="G665" s="1638"/>
      <c r="H665" s="1661" t="str">
        <f>IF(OR_Eingabe!J35&gt;0,PKMg!D26,"")</f>
        <v/>
      </c>
      <c r="K665" s="1606" t="s">
        <v>4334</v>
      </c>
      <c r="U665" s="1607"/>
      <c r="Z665" s="1609"/>
      <c r="AE665" s="1607"/>
      <c r="AJ665" s="1607"/>
      <c r="AK665" s="1610"/>
    </row>
    <row r="666" spans="3:37" s="1606" customFormat="1" ht="15" hidden="1" x14ac:dyDescent="0.25">
      <c r="C666" s="1607"/>
      <c r="F666" s="1609" t="s">
        <v>4069</v>
      </c>
      <c r="G666" s="1638"/>
      <c r="H666" s="1661">
        <f>IF(OR_Eingabe!J35&gt;0,PKMg!N311,0)</f>
        <v>0</v>
      </c>
      <c r="I666" s="1606" t="s">
        <v>3573</v>
      </c>
      <c r="K666" s="1606" t="s">
        <v>4334</v>
      </c>
      <c r="U666" s="1607"/>
      <c r="Z666" s="1609"/>
      <c r="AE666" s="1607"/>
      <c r="AJ666" s="1607"/>
      <c r="AK666" s="1610"/>
    </row>
    <row r="667" spans="3:37" s="1606" customFormat="1" ht="15" hidden="1" x14ac:dyDescent="0.25">
      <c r="C667" s="1607"/>
      <c r="F667" s="1609" t="s">
        <v>4065</v>
      </c>
      <c r="G667" s="1638"/>
      <c r="H667" s="1661" t="s">
        <v>3911</v>
      </c>
      <c r="I667" s="1606" t="s">
        <v>3573</v>
      </c>
      <c r="U667" s="1607"/>
      <c r="Z667" s="1609"/>
      <c r="AE667" s="1607"/>
      <c r="AJ667" s="1607"/>
      <c r="AK667" s="1610"/>
    </row>
    <row r="668" spans="3:37" s="1606" customFormat="1" ht="15" hidden="1" x14ac:dyDescent="0.25">
      <c r="C668" s="1607"/>
      <c r="F668" s="1608" t="s">
        <v>4068</v>
      </c>
      <c r="G668" s="1638"/>
      <c r="H668" s="1662">
        <f>H663+H666</f>
        <v>0</v>
      </c>
      <c r="I668" s="1606" t="s">
        <v>3573</v>
      </c>
      <c r="U668" s="1607"/>
      <c r="Z668" s="1609"/>
      <c r="AE668" s="1607"/>
      <c r="AJ668" s="1607"/>
      <c r="AK668" s="1610"/>
    </row>
    <row r="669" spans="3:37" s="1606" customFormat="1" ht="15" hidden="1" x14ac:dyDescent="0.25">
      <c r="C669" s="1607"/>
      <c r="F669" s="1609"/>
      <c r="G669" s="1638"/>
      <c r="H669" s="1662"/>
      <c r="U669" s="1607"/>
      <c r="Z669" s="1609"/>
      <c r="AE669" s="1607"/>
      <c r="AJ669" s="1607"/>
      <c r="AK669" s="1610"/>
    </row>
    <row r="670" spans="3:37" s="1606" customFormat="1" ht="15" hidden="1" x14ac:dyDescent="0.25">
      <c r="C670" s="1607"/>
      <c r="F670" s="1609"/>
      <c r="G670" s="1638"/>
      <c r="H670" s="1662"/>
      <c r="U670" s="1607"/>
      <c r="Z670" s="1609"/>
      <c r="AE670" s="1607"/>
      <c r="AJ670" s="1607"/>
      <c r="AK670" s="1610"/>
    </row>
    <row r="671" spans="3:37" s="1606" customFormat="1" hidden="1" x14ac:dyDescent="0.2">
      <c r="C671" s="1607"/>
      <c r="G671" s="1607"/>
      <c r="U671" s="1607"/>
      <c r="Z671" s="1609"/>
      <c r="AE671" s="1607"/>
      <c r="AJ671" s="1607"/>
      <c r="AK671" s="1610"/>
    </row>
    <row r="672" spans="3:37" s="1606" customFormat="1" ht="15" hidden="1" x14ac:dyDescent="0.25">
      <c r="C672" s="1607"/>
      <c r="F672" s="1608" t="s">
        <v>4062</v>
      </c>
      <c r="G672" s="1607"/>
      <c r="H672" s="1660">
        <f>PKMg!E335</f>
        <v>100</v>
      </c>
      <c r="I672" s="1608" t="s">
        <v>3565</v>
      </c>
      <c r="L672" s="1663" t="s">
        <v>4217</v>
      </c>
      <c r="U672" s="1607"/>
      <c r="Z672" s="1609"/>
      <c r="AE672" s="1607"/>
      <c r="AJ672" s="1607"/>
      <c r="AK672" s="1610"/>
    </row>
    <row r="673" spans="3:37" s="1606" customFormat="1" ht="15" hidden="1" x14ac:dyDescent="0.25">
      <c r="C673" s="1607"/>
      <c r="F673" s="1608" t="s">
        <v>4063</v>
      </c>
      <c r="G673" s="1607"/>
      <c r="H673" s="1660">
        <f>PKMg!E381</f>
        <v>180</v>
      </c>
      <c r="I673" s="1608" t="s">
        <v>3569</v>
      </c>
      <c r="L673" s="1663" t="s">
        <v>4219</v>
      </c>
      <c r="U673" s="1607"/>
      <c r="Z673" s="1609"/>
      <c r="AE673" s="1607"/>
      <c r="AJ673" s="1607"/>
      <c r="AK673" s="1610"/>
    </row>
    <row r="674" spans="3:37" s="1606" customFormat="1" ht="15" hidden="1" x14ac:dyDescent="0.25">
      <c r="C674" s="1607"/>
      <c r="F674" s="1608" t="s">
        <v>4064</v>
      </c>
      <c r="G674" s="1607"/>
      <c r="H674" s="1660">
        <f>PKMg!E400</f>
        <v>100</v>
      </c>
      <c r="I674" s="1608" t="s">
        <v>3573</v>
      </c>
      <c r="L674" s="1606" t="s">
        <v>4047</v>
      </c>
      <c r="U674" s="1607"/>
      <c r="Z674" s="1609"/>
      <c r="AE674" s="1607"/>
      <c r="AJ674" s="1607"/>
      <c r="AK674" s="1610"/>
    </row>
    <row r="675" spans="3:37" s="1606" customFormat="1" ht="15" hidden="1" x14ac:dyDescent="0.25">
      <c r="C675" s="1607"/>
      <c r="F675" s="1608"/>
      <c r="G675" s="1607"/>
      <c r="H675" s="1660">
        <f>IFERROR(OR_Ergebnis!H49+0,0)</f>
        <v>0</v>
      </c>
      <c r="I675" s="1608"/>
      <c r="L675" s="1606" t="s">
        <v>4048</v>
      </c>
      <c r="U675" s="1607"/>
      <c r="Z675" s="1609"/>
      <c r="AE675" s="1607"/>
      <c r="AJ675" s="1607"/>
      <c r="AK675" s="1610"/>
    </row>
    <row r="676" spans="3:37" s="1606" customFormat="1" ht="15" hidden="1" x14ac:dyDescent="0.25">
      <c r="C676" s="1607"/>
      <c r="F676" s="1664" t="s">
        <v>4362</v>
      </c>
      <c r="G676" s="1607"/>
      <c r="H676" s="1660">
        <f>IFERROR(OR_Ergebnis!H48+0,0)+IFERROR(OR_Ergebnis!H49+0,0)+IFERROR(OR_Ergebnis!H50+0,0)+IFERROR(OR_Ergebnis!H52+0,0)+IFERROR(OR_Ergebnis!H55+0,0)</f>
        <v>0</v>
      </c>
      <c r="I676" s="1608" t="s">
        <v>3565</v>
      </c>
      <c r="L676" s="1606" t="s">
        <v>4046</v>
      </c>
      <c r="U676" s="1607"/>
      <c r="Z676" s="1609"/>
      <c r="AE676" s="1607"/>
      <c r="AJ676" s="1607"/>
      <c r="AK676" s="1610"/>
    </row>
    <row r="677" spans="3:37" s="1606" customFormat="1" ht="15" hidden="1" x14ac:dyDescent="0.25">
      <c r="C677" s="1607"/>
      <c r="F677" s="1664" t="s">
        <v>4362</v>
      </c>
      <c r="G677" s="1607"/>
      <c r="H677" s="1660">
        <f>IFERROR(OR_Ergebnis!I48+0,0)+IFERROR(OR_Ergebnis!I49+0,0)+IFERROR(OR_Ergebnis!I50+0,0)+IFERROR(OR_Ergebnis!I52+0,0)+IFERROR(OR_Ergebnis!I55+0,0)</f>
        <v>0</v>
      </c>
      <c r="I677" s="1608" t="s">
        <v>3569</v>
      </c>
      <c r="U677" s="1607"/>
      <c r="Z677" s="1609"/>
      <c r="AE677" s="1607"/>
      <c r="AJ677" s="1607"/>
      <c r="AK677" s="1610"/>
    </row>
    <row r="678" spans="3:37" s="1606" customFormat="1" ht="15" hidden="1" x14ac:dyDescent="0.25">
      <c r="C678" s="1607"/>
      <c r="F678" s="1664" t="s">
        <v>4362</v>
      </c>
      <c r="G678" s="1607"/>
      <c r="H678" s="1660">
        <f>IFERROR(OR_Ergebnis!J48+0,0)+IFERROR(OR_Ergebnis!J49+0,0)+IFERROR(OR_Ergebnis!J50+0,0)+IFERROR(OR_Ergebnis!J52+0,0)+IFERROR(OR_Ergebnis!J55+0,0)</f>
        <v>0</v>
      </c>
      <c r="I678" s="1608" t="s">
        <v>3573</v>
      </c>
      <c r="U678" s="1607"/>
      <c r="Z678" s="1609"/>
      <c r="AE678" s="1607"/>
      <c r="AJ678" s="1607"/>
      <c r="AK678" s="1610"/>
    </row>
    <row r="679" spans="3:37" s="1606" customFormat="1" hidden="1" x14ac:dyDescent="0.2">
      <c r="C679" s="1607"/>
      <c r="G679" s="1607"/>
      <c r="U679" s="1607"/>
      <c r="Z679" s="1609"/>
      <c r="AE679" s="1607"/>
      <c r="AJ679" s="1607"/>
      <c r="AK679" s="1610"/>
    </row>
    <row r="680" spans="3:37" s="1606" customFormat="1" hidden="1" x14ac:dyDescent="0.2">
      <c r="C680" s="1607"/>
      <c r="G680" s="1607"/>
      <c r="U680" s="1607"/>
      <c r="Z680" s="1609"/>
      <c r="AE680" s="1607"/>
      <c r="AJ680" s="1607"/>
      <c r="AK680" s="1610"/>
    </row>
    <row r="681" spans="3:37" s="1606" customFormat="1" ht="15" hidden="1" x14ac:dyDescent="0.25">
      <c r="C681" s="1607"/>
      <c r="F681" s="1608" t="s">
        <v>4196</v>
      </c>
      <c r="G681" s="1607"/>
      <c r="H681" s="1608">
        <v>4</v>
      </c>
      <c r="I681" s="1606" t="s">
        <v>4197</v>
      </c>
      <c r="U681" s="1607"/>
      <c r="Z681" s="1609"/>
      <c r="AE681" s="1607"/>
      <c r="AJ681" s="1607"/>
      <c r="AK681" s="1610"/>
    </row>
    <row r="682" spans="3:37" s="1606" customFormat="1" ht="15" hidden="1" x14ac:dyDescent="0.25">
      <c r="C682" s="1607"/>
      <c r="F682" s="1608"/>
      <c r="G682" s="1607"/>
      <c r="H682" s="1608"/>
      <c r="I682" s="1607" t="s">
        <v>3807</v>
      </c>
      <c r="J682" s="1607" t="s">
        <v>3808</v>
      </c>
      <c r="K682" s="1607" t="s">
        <v>4037</v>
      </c>
      <c r="U682" s="1607"/>
      <c r="Z682" s="1609"/>
      <c r="AE682" s="1607"/>
      <c r="AJ682" s="1607"/>
      <c r="AK682" s="1610"/>
    </row>
    <row r="683" spans="3:37" s="1606" customFormat="1" hidden="1" x14ac:dyDescent="0.2">
      <c r="C683" s="1607"/>
      <c r="F683" s="1606" t="s">
        <v>13</v>
      </c>
      <c r="G683" s="1607"/>
      <c r="H683" s="1614">
        <f>OR_Eingabe!M22</f>
        <v>1</v>
      </c>
      <c r="I683" s="1607">
        <f>IF(H683&gt;1,1,0)</f>
        <v>0</v>
      </c>
      <c r="J683" s="1607">
        <f>I683</f>
        <v>0</v>
      </c>
      <c r="K683" s="1607">
        <f>I683</f>
        <v>0</v>
      </c>
      <c r="U683" s="1607"/>
      <c r="Z683" s="1609"/>
      <c r="AE683" s="1607"/>
      <c r="AJ683" s="1607"/>
      <c r="AK683" s="1610"/>
    </row>
    <row r="684" spans="3:37" s="1606" customFormat="1" hidden="1" x14ac:dyDescent="0.2">
      <c r="C684" s="1607"/>
      <c r="F684" s="1606" t="s">
        <v>4151</v>
      </c>
      <c r="G684" s="1607"/>
      <c r="H684" s="1665">
        <f>IF(H483="",0,H483)</f>
        <v>0</v>
      </c>
      <c r="I684" s="1607">
        <f>IF(OR_Eingabe!F24="",0,IF(H684&gt;0,1,0))</f>
        <v>0</v>
      </c>
      <c r="J684" s="1607">
        <f t="shared" ref="J684:J685" si="10">I684</f>
        <v>0</v>
      </c>
      <c r="K684" s="1607">
        <f t="shared" ref="K684:K685" si="11">I684</f>
        <v>0</v>
      </c>
      <c r="U684" s="1607"/>
      <c r="Z684" s="1609"/>
      <c r="AE684" s="1607"/>
      <c r="AJ684" s="1607"/>
      <c r="AK684" s="1610"/>
    </row>
    <row r="685" spans="3:37" s="1606" customFormat="1" hidden="1" x14ac:dyDescent="0.2">
      <c r="C685" s="1607"/>
      <c r="F685" s="1606" t="s">
        <v>3577</v>
      </c>
      <c r="G685" s="1607"/>
      <c r="H685" s="1614">
        <f>OR_Eingabe!M33</f>
        <v>4</v>
      </c>
      <c r="I685" s="1607">
        <v>1</v>
      </c>
      <c r="J685" s="1607">
        <f t="shared" si="10"/>
        <v>1</v>
      </c>
      <c r="K685" s="1607">
        <f t="shared" si="11"/>
        <v>1</v>
      </c>
      <c r="O685" s="1606" t="s">
        <v>4200</v>
      </c>
      <c r="U685" s="1607"/>
      <c r="Z685" s="1609"/>
      <c r="AE685" s="1607"/>
      <c r="AJ685" s="1607"/>
      <c r="AK685" s="1610"/>
    </row>
    <row r="686" spans="3:37" s="1606" customFormat="1" hidden="1" x14ac:dyDescent="0.2">
      <c r="C686" s="1607"/>
      <c r="F686" s="1615" t="s">
        <v>4179</v>
      </c>
      <c r="G686" s="1607"/>
      <c r="H686" s="1633">
        <f>OR_Eingabe!H35</f>
        <v>0</v>
      </c>
      <c r="I686" s="1606">
        <f>IF(H686&gt;0,1,0)</f>
        <v>0</v>
      </c>
      <c r="J686" s="1607"/>
      <c r="K686" s="1607"/>
      <c r="U686" s="1607"/>
      <c r="Z686" s="1609"/>
      <c r="AE686" s="1607"/>
      <c r="AJ686" s="1607"/>
      <c r="AK686" s="1610"/>
    </row>
    <row r="687" spans="3:37" s="1606" customFormat="1" hidden="1" x14ac:dyDescent="0.2">
      <c r="C687" s="1607"/>
      <c r="F687" s="1615" t="s">
        <v>4180</v>
      </c>
      <c r="G687" s="1607"/>
      <c r="H687" s="1606">
        <f>OR_Eingabe!I35</f>
        <v>0</v>
      </c>
      <c r="I687" s="1607"/>
      <c r="J687" s="1607">
        <f>IF(H687&gt;0,1,0)</f>
        <v>0</v>
      </c>
      <c r="K687" s="1607"/>
      <c r="U687" s="1607"/>
      <c r="Z687" s="1609"/>
      <c r="AE687" s="1607"/>
      <c r="AJ687" s="1607"/>
      <c r="AK687" s="1610"/>
    </row>
    <row r="688" spans="3:37" s="1606" customFormat="1" hidden="1" x14ac:dyDescent="0.2">
      <c r="C688" s="1607"/>
      <c r="F688" s="1615" t="s">
        <v>4181</v>
      </c>
      <c r="G688" s="1607"/>
      <c r="H688" s="1606">
        <f>OR_Eingabe!J35</f>
        <v>0</v>
      </c>
      <c r="I688" s="1607"/>
      <c r="J688" s="1607"/>
      <c r="K688" s="1607">
        <f>IF(H688&gt;0,1,0)</f>
        <v>0</v>
      </c>
      <c r="U688" s="1607"/>
      <c r="Z688" s="1609"/>
      <c r="AE688" s="1607"/>
      <c r="AJ688" s="1607"/>
      <c r="AK688" s="1610"/>
    </row>
    <row r="689" spans="3:37" s="1606" customFormat="1" ht="15" hidden="1" x14ac:dyDescent="0.25">
      <c r="C689" s="1607"/>
      <c r="F689" s="1608" t="s">
        <v>3759</v>
      </c>
      <c r="G689" s="1607"/>
      <c r="I689" s="1607">
        <f>SUM(I683:I688)</f>
        <v>1</v>
      </c>
      <c r="J689" s="1607">
        <f t="shared" ref="J689:K689" si="12">SUM(J683:J688)</f>
        <v>1</v>
      </c>
      <c r="K689" s="1607">
        <f t="shared" si="12"/>
        <v>1</v>
      </c>
      <c r="U689" s="1607"/>
      <c r="Z689" s="1609"/>
      <c r="AE689" s="1607"/>
      <c r="AJ689" s="1607"/>
      <c r="AK689" s="1610"/>
    </row>
    <row r="690" spans="3:37" s="1606" customFormat="1" ht="15" hidden="1" x14ac:dyDescent="0.25">
      <c r="C690" s="1607"/>
      <c r="F690" s="1616" t="s">
        <v>4161</v>
      </c>
      <c r="G690" s="1607"/>
      <c r="I690" s="1617">
        <f>H681-I689</f>
        <v>3</v>
      </c>
      <c r="J690" s="1617">
        <f>H681-J689</f>
        <v>3</v>
      </c>
      <c r="K690" s="1617">
        <f>H681-K689</f>
        <v>3</v>
      </c>
      <c r="U690" s="1607"/>
      <c r="Z690" s="1609"/>
      <c r="AE690" s="1607"/>
      <c r="AJ690" s="1607"/>
      <c r="AK690" s="1610"/>
    </row>
    <row r="691" spans="3:37" hidden="1" x14ac:dyDescent="0.2"/>
  </sheetData>
  <sheetProtection password="8677" sheet="1" objects="1" scenarios="1"/>
  <printOptions horizontalCentered="1" verticalCentered="1"/>
  <pageMargins left="0.78740157480314965" right="0.59055118110236227" top="0.39370078740157483" bottom="0.39370078740157483" header="0" footer="0.11811023622047245"/>
  <pageSetup paperSize="9" fitToWidth="5" fitToHeight="0" orientation="landscape" horizontalDpi="1200" verticalDpi="1200" r:id="rId1"/>
  <headerFooter alignWithMargins="0">
    <oddFooter>&amp;L&amp;8LEL / LTZ / LAZBW / LWA-DS&amp;C&amp;8&amp;F  &amp;A&amp;R&amp;8&amp;D</oddFooter>
  </headerFooter>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6" tint="-0.499984740745262"/>
    <pageSetUpPr fitToPage="1"/>
  </sheetPr>
  <dimension ref="B1:AK232"/>
  <sheetViews>
    <sheetView zoomScaleNormal="100" zoomScaleSheetLayoutView="50" workbookViewId="0">
      <selection activeCell="C16" sqref="C16"/>
    </sheetView>
  </sheetViews>
  <sheetFormatPr baseColWidth="10" defaultColWidth="10.125" defaultRowHeight="14.25" x14ac:dyDescent="0.2"/>
  <cols>
    <col min="1" max="1" width="2.75" style="20" customWidth="1"/>
    <col min="2" max="2" width="8.5" style="32" customWidth="1"/>
    <col min="3" max="3" width="47.125" style="20" customWidth="1"/>
    <col min="4" max="4" width="12.875" style="20" customWidth="1"/>
    <col min="5" max="11" width="4.25" style="20" customWidth="1"/>
    <col min="12" max="12" width="5.125" style="20" customWidth="1"/>
    <col min="13" max="24" width="4.25" style="20" customWidth="1"/>
    <col min="25" max="25" width="10.125" style="20"/>
    <col min="26" max="26" width="10.125" style="17"/>
    <col min="27" max="257" width="10.125" style="20"/>
    <col min="258" max="258" width="3.625" style="20" customWidth="1"/>
    <col min="259" max="259" width="32.875" style="20" customWidth="1"/>
    <col min="260" max="260" width="22" style="20" customWidth="1"/>
    <col min="261" max="261" width="12.75" style="20" customWidth="1"/>
    <col min="262" max="262" width="14" style="20" customWidth="1"/>
    <col min="263" max="263" width="18.5" style="20" customWidth="1"/>
    <col min="264" max="264" width="11.75" style="20" customWidth="1"/>
    <col min="265" max="265" width="13.25" style="20" customWidth="1"/>
    <col min="266" max="266" width="13" style="20" customWidth="1"/>
    <col min="267" max="267" width="16.25" style="20" customWidth="1"/>
    <col min="268" max="268" width="6" style="20" customWidth="1"/>
    <col min="269" max="269" width="6.125" style="20" customWidth="1"/>
    <col min="270" max="270" width="14.75" style="20" customWidth="1"/>
    <col min="271" max="271" width="8" style="20" customWidth="1"/>
    <col min="272" max="513" width="10.125" style="20"/>
    <col min="514" max="514" width="3.625" style="20" customWidth="1"/>
    <col min="515" max="515" width="32.875" style="20" customWidth="1"/>
    <col min="516" max="516" width="22" style="20" customWidth="1"/>
    <col min="517" max="517" width="12.75" style="20" customWidth="1"/>
    <col min="518" max="518" width="14" style="20" customWidth="1"/>
    <col min="519" max="519" width="18.5" style="20" customWidth="1"/>
    <col min="520" max="520" width="11.75" style="20" customWidth="1"/>
    <col min="521" max="521" width="13.25" style="20" customWidth="1"/>
    <col min="522" max="522" width="13" style="20" customWidth="1"/>
    <col min="523" max="523" width="16.25" style="20" customWidth="1"/>
    <col min="524" max="524" width="6" style="20" customWidth="1"/>
    <col min="525" max="525" width="6.125" style="20" customWidth="1"/>
    <col min="526" max="526" width="14.75" style="20" customWidth="1"/>
    <col min="527" max="527" width="8" style="20" customWidth="1"/>
    <col min="528" max="769" width="10.125" style="20"/>
    <col min="770" max="770" width="3.625" style="20" customWidth="1"/>
    <col min="771" max="771" width="32.875" style="20" customWidth="1"/>
    <col min="772" max="772" width="22" style="20" customWidth="1"/>
    <col min="773" max="773" width="12.75" style="20" customWidth="1"/>
    <col min="774" max="774" width="14" style="20" customWidth="1"/>
    <col min="775" max="775" width="18.5" style="20" customWidth="1"/>
    <col min="776" max="776" width="11.75" style="20" customWidth="1"/>
    <col min="777" max="777" width="13.25" style="20" customWidth="1"/>
    <col min="778" max="778" width="13" style="20" customWidth="1"/>
    <col min="779" max="779" width="16.25" style="20" customWidth="1"/>
    <col min="780" max="780" width="6" style="20" customWidth="1"/>
    <col min="781" max="781" width="6.125" style="20" customWidth="1"/>
    <col min="782" max="782" width="14.75" style="20" customWidth="1"/>
    <col min="783" max="783" width="8" style="20" customWidth="1"/>
    <col min="784" max="1025" width="10.125" style="20"/>
    <col min="1026" max="1026" width="3.625" style="20" customWidth="1"/>
    <col min="1027" max="1027" width="32.875" style="20" customWidth="1"/>
    <col min="1028" max="1028" width="22" style="20" customWidth="1"/>
    <col min="1029" max="1029" width="12.75" style="20" customWidth="1"/>
    <col min="1030" max="1030" width="14" style="20" customWidth="1"/>
    <col min="1031" max="1031" width="18.5" style="20" customWidth="1"/>
    <col min="1032" max="1032" width="11.75" style="20" customWidth="1"/>
    <col min="1033" max="1033" width="13.25" style="20" customWidth="1"/>
    <col min="1034" max="1034" width="13" style="20" customWidth="1"/>
    <col min="1035" max="1035" width="16.25" style="20" customWidth="1"/>
    <col min="1036" max="1036" width="6" style="20" customWidth="1"/>
    <col min="1037" max="1037" width="6.125" style="20" customWidth="1"/>
    <col min="1038" max="1038" width="14.75" style="20" customWidth="1"/>
    <col min="1039" max="1039" width="8" style="20" customWidth="1"/>
    <col min="1040" max="1281" width="10.125" style="20"/>
    <col min="1282" max="1282" width="3.625" style="20" customWidth="1"/>
    <col min="1283" max="1283" width="32.875" style="20" customWidth="1"/>
    <col min="1284" max="1284" width="22" style="20" customWidth="1"/>
    <col min="1285" max="1285" width="12.75" style="20" customWidth="1"/>
    <col min="1286" max="1286" width="14" style="20" customWidth="1"/>
    <col min="1287" max="1287" width="18.5" style="20" customWidth="1"/>
    <col min="1288" max="1288" width="11.75" style="20" customWidth="1"/>
    <col min="1289" max="1289" width="13.25" style="20" customWidth="1"/>
    <col min="1290" max="1290" width="13" style="20" customWidth="1"/>
    <col min="1291" max="1291" width="16.25" style="20" customWidth="1"/>
    <col min="1292" max="1292" width="6" style="20" customWidth="1"/>
    <col min="1293" max="1293" width="6.125" style="20" customWidth="1"/>
    <col min="1294" max="1294" width="14.75" style="20" customWidth="1"/>
    <col min="1295" max="1295" width="8" style="20" customWidth="1"/>
    <col min="1296" max="1537" width="10.125" style="20"/>
    <col min="1538" max="1538" width="3.625" style="20" customWidth="1"/>
    <col min="1539" max="1539" width="32.875" style="20" customWidth="1"/>
    <col min="1540" max="1540" width="22" style="20" customWidth="1"/>
    <col min="1541" max="1541" width="12.75" style="20" customWidth="1"/>
    <col min="1542" max="1542" width="14" style="20" customWidth="1"/>
    <col min="1543" max="1543" width="18.5" style="20" customWidth="1"/>
    <col min="1544" max="1544" width="11.75" style="20" customWidth="1"/>
    <col min="1545" max="1545" width="13.25" style="20" customWidth="1"/>
    <col min="1546" max="1546" width="13" style="20" customWidth="1"/>
    <col min="1547" max="1547" width="16.25" style="20" customWidth="1"/>
    <col min="1548" max="1548" width="6" style="20" customWidth="1"/>
    <col min="1549" max="1549" width="6.125" style="20" customWidth="1"/>
    <col min="1550" max="1550" width="14.75" style="20" customWidth="1"/>
    <col min="1551" max="1551" width="8" style="20" customWidth="1"/>
    <col min="1552" max="1793" width="10.125" style="20"/>
    <col min="1794" max="1794" width="3.625" style="20" customWidth="1"/>
    <col min="1795" max="1795" width="32.875" style="20" customWidth="1"/>
    <col min="1796" max="1796" width="22" style="20" customWidth="1"/>
    <col min="1797" max="1797" width="12.75" style="20" customWidth="1"/>
    <col min="1798" max="1798" width="14" style="20" customWidth="1"/>
    <col min="1799" max="1799" width="18.5" style="20" customWidth="1"/>
    <col min="1800" max="1800" width="11.75" style="20" customWidth="1"/>
    <col min="1801" max="1801" width="13.25" style="20" customWidth="1"/>
    <col min="1802" max="1802" width="13" style="20" customWidth="1"/>
    <col min="1803" max="1803" width="16.25" style="20" customWidth="1"/>
    <col min="1804" max="1804" width="6" style="20" customWidth="1"/>
    <col min="1805" max="1805" width="6.125" style="20" customWidth="1"/>
    <col min="1806" max="1806" width="14.75" style="20" customWidth="1"/>
    <col min="1807" max="1807" width="8" style="20" customWidth="1"/>
    <col min="1808" max="2049" width="10.125" style="20"/>
    <col min="2050" max="2050" width="3.625" style="20" customWidth="1"/>
    <col min="2051" max="2051" width="32.875" style="20" customWidth="1"/>
    <col min="2052" max="2052" width="22" style="20" customWidth="1"/>
    <col min="2053" max="2053" width="12.75" style="20" customWidth="1"/>
    <col min="2054" max="2054" width="14" style="20" customWidth="1"/>
    <col min="2055" max="2055" width="18.5" style="20" customWidth="1"/>
    <col min="2056" max="2056" width="11.75" style="20" customWidth="1"/>
    <col min="2057" max="2057" width="13.25" style="20" customWidth="1"/>
    <col min="2058" max="2058" width="13" style="20" customWidth="1"/>
    <col min="2059" max="2059" width="16.25" style="20" customWidth="1"/>
    <col min="2060" max="2060" width="6" style="20" customWidth="1"/>
    <col min="2061" max="2061" width="6.125" style="20" customWidth="1"/>
    <col min="2062" max="2062" width="14.75" style="20" customWidth="1"/>
    <col min="2063" max="2063" width="8" style="20" customWidth="1"/>
    <col min="2064" max="2305" width="10.125" style="20"/>
    <col min="2306" max="2306" width="3.625" style="20" customWidth="1"/>
    <col min="2307" max="2307" width="32.875" style="20" customWidth="1"/>
    <col min="2308" max="2308" width="22" style="20" customWidth="1"/>
    <col min="2309" max="2309" width="12.75" style="20" customWidth="1"/>
    <col min="2310" max="2310" width="14" style="20" customWidth="1"/>
    <col min="2311" max="2311" width="18.5" style="20" customWidth="1"/>
    <col min="2312" max="2312" width="11.75" style="20" customWidth="1"/>
    <col min="2313" max="2313" width="13.25" style="20" customWidth="1"/>
    <col min="2314" max="2314" width="13" style="20" customWidth="1"/>
    <col min="2315" max="2315" width="16.25" style="20" customWidth="1"/>
    <col min="2316" max="2316" width="6" style="20" customWidth="1"/>
    <col min="2317" max="2317" width="6.125" style="20" customWidth="1"/>
    <col min="2318" max="2318" width="14.75" style="20" customWidth="1"/>
    <col min="2319" max="2319" width="8" style="20" customWidth="1"/>
    <col min="2320" max="2561" width="10.125" style="20"/>
    <col min="2562" max="2562" width="3.625" style="20" customWidth="1"/>
    <col min="2563" max="2563" width="32.875" style="20" customWidth="1"/>
    <col min="2564" max="2564" width="22" style="20" customWidth="1"/>
    <col min="2565" max="2565" width="12.75" style="20" customWidth="1"/>
    <col min="2566" max="2566" width="14" style="20" customWidth="1"/>
    <col min="2567" max="2567" width="18.5" style="20" customWidth="1"/>
    <col min="2568" max="2568" width="11.75" style="20" customWidth="1"/>
    <col min="2569" max="2569" width="13.25" style="20" customWidth="1"/>
    <col min="2570" max="2570" width="13" style="20" customWidth="1"/>
    <col min="2571" max="2571" width="16.25" style="20" customWidth="1"/>
    <col min="2572" max="2572" width="6" style="20" customWidth="1"/>
    <col min="2573" max="2573" width="6.125" style="20" customWidth="1"/>
    <col min="2574" max="2574" width="14.75" style="20" customWidth="1"/>
    <col min="2575" max="2575" width="8" style="20" customWidth="1"/>
    <col min="2576" max="2817" width="10.125" style="20"/>
    <col min="2818" max="2818" width="3.625" style="20" customWidth="1"/>
    <col min="2819" max="2819" width="32.875" style="20" customWidth="1"/>
    <col min="2820" max="2820" width="22" style="20" customWidth="1"/>
    <col min="2821" max="2821" width="12.75" style="20" customWidth="1"/>
    <col min="2822" max="2822" width="14" style="20" customWidth="1"/>
    <col min="2823" max="2823" width="18.5" style="20" customWidth="1"/>
    <col min="2824" max="2824" width="11.75" style="20" customWidth="1"/>
    <col min="2825" max="2825" width="13.25" style="20" customWidth="1"/>
    <col min="2826" max="2826" width="13" style="20" customWidth="1"/>
    <col min="2827" max="2827" width="16.25" style="20" customWidth="1"/>
    <col min="2828" max="2828" width="6" style="20" customWidth="1"/>
    <col min="2829" max="2829" width="6.125" style="20" customWidth="1"/>
    <col min="2830" max="2830" width="14.75" style="20" customWidth="1"/>
    <col min="2831" max="2831" width="8" style="20" customWidth="1"/>
    <col min="2832" max="3073" width="10.125" style="20"/>
    <col min="3074" max="3074" width="3.625" style="20" customWidth="1"/>
    <col min="3075" max="3075" width="32.875" style="20" customWidth="1"/>
    <col min="3076" max="3076" width="22" style="20" customWidth="1"/>
    <col min="3077" max="3077" width="12.75" style="20" customWidth="1"/>
    <col min="3078" max="3078" width="14" style="20" customWidth="1"/>
    <col min="3079" max="3079" width="18.5" style="20" customWidth="1"/>
    <col min="3080" max="3080" width="11.75" style="20" customWidth="1"/>
    <col min="3081" max="3081" width="13.25" style="20" customWidth="1"/>
    <col min="3082" max="3082" width="13" style="20" customWidth="1"/>
    <col min="3083" max="3083" width="16.25" style="20" customWidth="1"/>
    <col min="3084" max="3084" width="6" style="20" customWidth="1"/>
    <col min="3085" max="3085" width="6.125" style="20" customWidth="1"/>
    <col min="3086" max="3086" width="14.75" style="20" customWidth="1"/>
    <col min="3087" max="3087" width="8" style="20" customWidth="1"/>
    <col min="3088" max="3329" width="10.125" style="20"/>
    <col min="3330" max="3330" width="3.625" style="20" customWidth="1"/>
    <col min="3331" max="3331" width="32.875" style="20" customWidth="1"/>
    <col min="3332" max="3332" width="22" style="20" customWidth="1"/>
    <col min="3333" max="3333" width="12.75" style="20" customWidth="1"/>
    <col min="3334" max="3334" width="14" style="20" customWidth="1"/>
    <col min="3335" max="3335" width="18.5" style="20" customWidth="1"/>
    <col min="3336" max="3336" width="11.75" style="20" customWidth="1"/>
    <col min="3337" max="3337" width="13.25" style="20" customWidth="1"/>
    <col min="3338" max="3338" width="13" style="20" customWidth="1"/>
    <col min="3339" max="3339" width="16.25" style="20" customWidth="1"/>
    <col min="3340" max="3340" width="6" style="20" customWidth="1"/>
    <col min="3341" max="3341" width="6.125" style="20" customWidth="1"/>
    <col min="3342" max="3342" width="14.75" style="20" customWidth="1"/>
    <col min="3343" max="3343" width="8" style="20" customWidth="1"/>
    <col min="3344" max="3585" width="10.125" style="20"/>
    <col min="3586" max="3586" width="3.625" style="20" customWidth="1"/>
    <col min="3587" max="3587" width="32.875" style="20" customWidth="1"/>
    <col min="3588" max="3588" width="22" style="20" customWidth="1"/>
    <col min="3589" max="3589" width="12.75" style="20" customWidth="1"/>
    <col min="3590" max="3590" width="14" style="20" customWidth="1"/>
    <col min="3591" max="3591" width="18.5" style="20" customWidth="1"/>
    <col min="3592" max="3592" width="11.75" style="20" customWidth="1"/>
    <col min="3593" max="3593" width="13.25" style="20" customWidth="1"/>
    <col min="3594" max="3594" width="13" style="20" customWidth="1"/>
    <col min="3595" max="3595" width="16.25" style="20" customWidth="1"/>
    <col min="3596" max="3596" width="6" style="20" customWidth="1"/>
    <col min="3597" max="3597" width="6.125" style="20" customWidth="1"/>
    <col min="3598" max="3598" width="14.75" style="20" customWidth="1"/>
    <col min="3599" max="3599" width="8" style="20" customWidth="1"/>
    <col min="3600" max="3841" width="10.125" style="20"/>
    <col min="3842" max="3842" width="3.625" style="20" customWidth="1"/>
    <col min="3843" max="3843" width="32.875" style="20" customWidth="1"/>
    <col min="3844" max="3844" width="22" style="20" customWidth="1"/>
    <col min="3845" max="3845" width="12.75" style="20" customWidth="1"/>
    <col min="3846" max="3846" width="14" style="20" customWidth="1"/>
    <col min="3847" max="3847" width="18.5" style="20" customWidth="1"/>
    <col min="3848" max="3848" width="11.75" style="20" customWidth="1"/>
    <col min="3849" max="3849" width="13.25" style="20" customWidth="1"/>
    <col min="3850" max="3850" width="13" style="20" customWidth="1"/>
    <col min="3851" max="3851" width="16.25" style="20" customWidth="1"/>
    <col min="3852" max="3852" width="6" style="20" customWidth="1"/>
    <col min="3853" max="3853" width="6.125" style="20" customWidth="1"/>
    <col min="3854" max="3854" width="14.75" style="20" customWidth="1"/>
    <col min="3855" max="3855" width="8" style="20" customWidth="1"/>
    <col min="3856" max="4097" width="10.125" style="20"/>
    <col min="4098" max="4098" width="3.625" style="20" customWidth="1"/>
    <col min="4099" max="4099" width="32.875" style="20" customWidth="1"/>
    <col min="4100" max="4100" width="22" style="20" customWidth="1"/>
    <col min="4101" max="4101" width="12.75" style="20" customWidth="1"/>
    <col min="4102" max="4102" width="14" style="20" customWidth="1"/>
    <col min="4103" max="4103" width="18.5" style="20" customWidth="1"/>
    <col min="4104" max="4104" width="11.75" style="20" customWidth="1"/>
    <col min="4105" max="4105" width="13.25" style="20" customWidth="1"/>
    <col min="4106" max="4106" width="13" style="20" customWidth="1"/>
    <col min="4107" max="4107" width="16.25" style="20" customWidth="1"/>
    <col min="4108" max="4108" width="6" style="20" customWidth="1"/>
    <col min="4109" max="4109" width="6.125" style="20" customWidth="1"/>
    <col min="4110" max="4110" width="14.75" style="20" customWidth="1"/>
    <col min="4111" max="4111" width="8" style="20" customWidth="1"/>
    <col min="4112" max="4353" width="10.125" style="20"/>
    <col min="4354" max="4354" width="3.625" style="20" customWidth="1"/>
    <col min="4355" max="4355" width="32.875" style="20" customWidth="1"/>
    <col min="4356" max="4356" width="22" style="20" customWidth="1"/>
    <col min="4357" max="4357" width="12.75" style="20" customWidth="1"/>
    <col min="4358" max="4358" width="14" style="20" customWidth="1"/>
    <col min="4359" max="4359" width="18.5" style="20" customWidth="1"/>
    <col min="4360" max="4360" width="11.75" style="20" customWidth="1"/>
    <col min="4361" max="4361" width="13.25" style="20" customWidth="1"/>
    <col min="4362" max="4362" width="13" style="20" customWidth="1"/>
    <col min="4363" max="4363" width="16.25" style="20" customWidth="1"/>
    <col min="4364" max="4364" width="6" style="20" customWidth="1"/>
    <col min="4365" max="4365" width="6.125" style="20" customWidth="1"/>
    <col min="4366" max="4366" width="14.75" style="20" customWidth="1"/>
    <col min="4367" max="4367" width="8" style="20" customWidth="1"/>
    <col min="4368" max="4609" width="10.125" style="20"/>
    <col min="4610" max="4610" width="3.625" style="20" customWidth="1"/>
    <col min="4611" max="4611" width="32.875" style="20" customWidth="1"/>
    <col min="4612" max="4612" width="22" style="20" customWidth="1"/>
    <col min="4613" max="4613" width="12.75" style="20" customWidth="1"/>
    <col min="4614" max="4614" width="14" style="20" customWidth="1"/>
    <col min="4615" max="4615" width="18.5" style="20" customWidth="1"/>
    <col min="4616" max="4616" width="11.75" style="20" customWidth="1"/>
    <col min="4617" max="4617" width="13.25" style="20" customWidth="1"/>
    <col min="4618" max="4618" width="13" style="20" customWidth="1"/>
    <col min="4619" max="4619" width="16.25" style="20" customWidth="1"/>
    <col min="4620" max="4620" width="6" style="20" customWidth="1"/>
    <col min="4621" max="4621" width="6.125" style="20" customWidth="1"/>
    <col min="4622" max="4622" width="14.75" style="20" customWidth="1"/>
    <col min="4623" max="4623" width="8" style="20" customWidth="1"/>
    <col min="4624" max="4865" width="10.125" style="20"/>
    <col min="4866" max="4866" width="3.625" style="20" customWidth="1"/>
    <col min="4867" max="4867" width="32.875" style="20" customWidth="1"/>
    <col min="4868" max="4868" width="22" style="20" customWidth="1"/>
    <col min="4869" max="4869" width="12.75" style="20" customWidth="1"/>
    <col min="4870" max="4870" width="14" style="20" customWidth="1"/>
    <col min="4871" max="4871" width="18.5" style="20" customWidth="1"/>
    <col min="4872" max="4872" width="11.75" style="20" customWidth="1"/>
    <col min="4873" max="4873" width="13.25" style="20" customWidth="1"/>
    <col min="4874" max="4874" width="13" style="20" customWidth="1"/>
    <col min="4875" max="4875" width="16.25" style="20" customWidth="1"/>
    <col min="4876" max="4876" width="6" style="20" customWidth="1"/>
    <col min="4877" max="4877" width="6.125" style="20" customWidth="1"/>
    <col min="4878" max="4878" width="14.75" style="20" customWidth="1"/>
    <col min="4879" max="4879" width="8" style="20" customWidth="1"/>
    <col min="4880" max="5121" width="10.125" style="20"/>
    <col min="5122" max="5122" width="3.625" style="20" customWidth="1"/>
    <col min="5123" max="5123" width="32.875" style="20" customWidth="1"/>
    <col min="5124" max="5124" width="22" style="20" customWidth="1"/>
    <col min="5125" max="5125" width="12.75" style="20" customWidth="1"/>
    <col min="5126" max="5126" width="14" style="20" customWidth="1"/>
    <col min="5127" max="5127" width="18.5" style="20" customWidth="1"/>
    <col min="5128" max="5128" width="11.75" style="20" customWidth="1"/>
    <col min="5129" max="5129" width="13.25" style="20" customWidth="1"/>
    <col min="5130" max="5130" width="13" style="20" customWidth="1"/>
    <col min="5131" max="5131" width="16.25" style="20" customWidth="1"/>
    <col min="5132" max="5132" width="6" style="20" customWidth="1"/>
    <col min="5133" max="5133" width="6.125" style="20" customWidth="1"/>
    <col min="5134" max="5134" width="14.75" style="20" customWidth="1"/>
    <col min="5135" max="5135" width="8" style="20" customWidth="1"/>
    <col min="5136" max="5377" width="10.125" style="20"/>
    <col min="5378" max="5378" width="3.625" style="20" customWidth="1"/>
    <col min="5379" max="5379" width="32.875" style="20" customWidth="1"/>
    <col min="5380" max="5380" width="22" style="20" customWidth="1"/>
    <col min="5381" max="5381" width="12.75" style="20" customWidth="1"/>
    <col min="5382" max="5382" width="14" style="20" customWidth="1"/>
    <col min="5383" max="5383" width="18.5" style="20" customWidth="1"/>
    <col min="5384" max="5384" width="11.75" style="20" customWidth="1"/>
    <col min="5385" max="5385" width="13.25" style="20" customWidth="1"/>
    <col min="5386" max="5386" width="13" style="20" customWidth="1"/>
    <col min="5387" max="5387" width="16.25" style="20" customWidth="1"/>
    <col min="5388" max="5388" width="6" style="20" customWidth="1"/>
    <col min="5389" max="5389" width="6.125" style="20" customWidth="1"/>
    <col min="5390" max="5390" width="14.75" style="20" customWidth="1"/>
    <col min="5391" max="5391" width="8" style="20" customWidth="1"/>
    <col min="5392" max="5633" width="10.125" style="20"/>
    <col min="5634" max="5634" width="3.625" style="20" customWidth="1"/>
    <col min="5635" max="5635" width="32.875" style="20" customWidth="1"/>
    <col min="5636" max="5636" width="22" style="20" customWidth="1"/>
    <col min="5637" max="5637" width="12.75" style="20" customWidth="1"/>
    <col min="5638" max="5638" width="14" style="20" customWidth="1"/>
    <col min="5639" max="5639" width="18.5" style="20" customWidth="1"/>
    <col min="5640" max="5640" width="11.75" style="20" customWidth="1"/>
    <col min="5641" max="5641" width="13.25" style="20" customWidth="1"/>
    <col min="5642" max="5642" width="13" style="20" customWidth="1"/>
    <col min="5643" max="5643" width="16.25" style="20" customWidth="1"/>
    <col min="5644" max="5644" width="6" style="20" customWidth="1"/>
    <col min="5645" max="5645" width="6.125" style="20" customWidth="1"/>
    <col min="5646" max="5646" width="14.75" style="20" customWidth="1"/>
    <col min="5647" max="5647" width="8" style="20" customWidth="1"/>
    <col min="5648" max="5889" width="10.125" style="20"/>
    <col min="5890" max="5890" width="3.625" style="20" customWidth="1"/>
    <col min="5891" max="5891" width="32.875" style="20" customWidth="1"/>
    <col min="5892" max="5892" width="22" style="20" customWidth="1"/>
    <col min="5893" max="5893" width="12.75" style="20" customWidth="1"/>
    <col min="5894" max="5894" width="14" style="20" customWidth="1"/>
    <col min="5895" max="5895" width="18.5" style="20" customWidth="1"/>
    <col min="5896" max="5896" width="11.75" style="20" customWidth="1"/>
    <col min="5897" max="5897" width="13.25" style="20" customWidth="1"/>
    <col min="5898" max="5898" width="13" style="20" customWidth="1"/>
    <col min="5899" max="5899" width="16.25" style="20" customWidth="1"/>
    <col min="5900" max="5900" width="6" style="20" customWidth="1"/>
    <col min="5901" max="5901" width="6.125" style="20" customWidth="1"/>
    <col min="5902" max="5902" width="14.75" style="20" customWidth="1"/>
    <col min="5903" max="5903" width="8" style="20" customWidth="1"/>
    <col min="5904" max="6145" width="10.125" style="20"/>
    <col min="6146" max="6146" width="3.625" style="20" customWidth="1"/>
    <col min="6147" max="6147" width="32.875" style="20" customWidth="1"/>
    <col min="6148" max="6148" width="22" style="20" customWidth="1"/>
    <col min="6149" max="6149" width="12.75" style="20" customWidth="1"/>
    <col min="6150" max="6150" width="14" style="20" customWidth="1"/>
    <col min="6151" max="6151" width="18.5" style="20" customWidth="1"/>
    <col min="6152" max="6152" width="11.75" style="20" customWidth="1"/>
    <col min="6153" max="6153" width="13.25" style="20" customWidth="1"/>
    <col min="6154" max="6154" width="13" style="20" customWidth="1"/>
    <col min="6155" max="6155" width="16.25" style="20" customWidth="1"/>
    <col min="6156" max="6156" width="6" style="20" customWidth="1"/>
    <col min="6157" max="6157" width="6.125" style="20" customWidth="1"/>
    <col min="6158" max="6158" width="14.75" style="20" customWidth="1"/>
    <col min="6159" max="6159" width="8" style="20" customWidth="1"/>
    <col min="6160" max="6401" width="10.125" style="20"/>
    <col min="6402" max="6402" width="3.625" style="20" customWidth="1"/>
    <col min="6403" max="6403" width="32.875" style="20" customWidth="1"/>
    <col min="6404" max="6404" width="22" style="20" customWidth="1"/>
    <col min="6405" max="6405" width="12.75" style="20" customWidth="1"/>
    <col min="6406" max="6406" width="14" style="20" customWidth="1"/>
    <col min="6407" max="6407" width="18.5" style="20" customWidth="1"/>
    <col min="6408" max="6408" width="11.75" style="20" customWidth="1"/>
    <col min="6409" max="6409" width="13.25" style="20" customWidth="1"/>
    <col min="6410" max="6410" width="13" style="20" customWidth="1"/>
    <col min="6411" max="6411" width="16.25" style="20" customWidth="1"/>
    <col min="6412" max="6412" width="6" style="20" customWidth="1"/>
    <col min="6413" max="6413" width="6.125" style="20" customWidth="1"/>
    <col min="6414" max="6414" width="14.75" style="20" customWidth="1"/>
    <col min="6415" max="6415" width="8" style="20" customWidth="1"/>
    <col min="6416" max="6657" width="10.125" style="20"/>
    <col min="6658" max="6658" width="3.625" style="20" customWidth="1"/>
    <col min="6659" max="6659" width="32.875" style="20" customWidth="1"/>
    <col min="6660" max="6660" width="22" style="20" customWidth="1"/>
    <col min="6661" max="6661" width="12.75" style="20" customWidth="1"/>
    <col min="6662" max="6662" width="14" style="20" customWidth="1"/>
    <col min="6663" max="6663" width="18.5" style="20" customWidth="1"/>
    <col min="6664" max="6664" width="11.75" style="20" customWidth="1"/>
    <col min="6665" max="6665" width="13.25" style="20" customWidth="1"/>
    <col min="6666" max="6666" width="13" style="20" customWidth="1"/>
    <col min="6667" max="6667" width="16.25" style="20" customWidth="1"/>
    <col min="6668" max="6668" width="6" style="20" customWidth="1"/>
    <col min="6669" max="6669" width="6.125" style="20" customWidth="1"/>
    <col min="6670" max="6670" width="14.75" style="20" customWidth="1"/>
    <col min="6671" max="6671" width="8" style="20" customWidth="1"/>
    <col min="6672" max="6913" width="10.125" style="20"/>
    <col min="6914" max="6914" width="3.625" style="20" customWidth="1"/>
    <col min="6915" max="6915" width="32.875" style="20" customWidth="1"/>
    <col min="6916" max="6916" width="22" style="20" customWidth="1"/>
    <col min="6917" max="6917" width="12.75" style="20" customWidth="1"/>
    <col min="6918" max="6918" width="14" style="20" customWidth="1"/>
    <col min="6919" max="6919" width="18.5" style="20" customWidth="1"/>
    <col min="6920" max="6920" width="11.75" style="20" customWidth="1"/>
    <col min="6921" max="6921" width="13.25" style="20" customWidth="1"/>
    <col min="6922" max="6922" width="13" style="20" customWidth="1"/>
    <col min="6923" max="6923" width="16.25" style="20" customWidth="1"/>
    <col min="6924" max="6924" width="6" style="20" customWidth="1"/>
    <col min="6925" max="6925" width="6.125" style="20" customWidth="1"/>
    <col min="6926" max="6926" width="14.75" style="20" customWidth="1"/>
    <col min="6927" max="6927" width="8" style="20" customWidth="1"/>
    <col min="6928" max="7169" width="10.125" style="20"/>
    <col min="7170" max="7170" width="3.625" style="20" customWidth="1"/>
    <col min="7171" max="7171" width="32.875" style="20" customWidth="1"/>
    <col min="7172" max="7172" width="22" style="20" customWidth="1"/>
    <col min="7173" max="7173" width="12.75" style="20" customWidth="1"/>
    <col min="7174" max="7174" width="14" style="20" customWidth="1"/>
    <col min="7175" max="7175" width="18.5" style="20" customWidth="1"/>
    <col min="7176" max="7176" width="11.75" style="20" customWidth="1"/>
    <col min="7177" max="7177" width="13.25" style="20" customWidth="1"/>
    <col min="7178" max="7178" width="13" style="20" customWidth="1"/>
    <col min="7179" max="7179" width="16.25" style="20" customWidth="1"/>
    <col min="7180" max="7180" width="6" style="20" customWidth="1"/>
    <col min="7181" max="7181" width="6.125" style="20" customWidth="1"/>
    <col min="7182" max="7182" width="14.75" style="20" customWidth="1"/>
    <col min="7183" max="7183" width="8" style="20" customWidth="1"/>
    <col min="7184" max="7425" width="10.125" style="20"/>
    <col min="7426" max="7426" width="3.625" style="20" customWidth="1"/>
    <col min="7427" max="7427" width="32.875" style="20" customWidth="1"/>
    <col min="7428" max="7428" width="22" style="20" customWidth="1"/>
    <col min="7429" max="7429" width="12.75" style="20" customWidth="1"/>
    <col min="7430" max="7430" width="14" style="20" customWidth="1"/>
    <col min="7431" max="7431" width="18.5" style="20" customWidth="1"/>
    <col min="7432" max="7432" width="11.75" style="20" customWidth="1"/>
    <col min="7433" max="7433" width="13.25" style="20" customWidth="1"/>
    <col min="7434" max="7434" width="13" style="20" customWidth="1"/>
    <col min="7435" max="7435" width="16.25" style="20" customWidth="1"/>
    <col min="7436" max="7436" width="6" style="20" customWidth="1"/>
    <col min="7437" max="7437" width="6.125" style="20" customWidth="1"/>
    <col min="7438" max="7438" width="14.75" style="20" customWidth="1"/>
    <col min="7439" max="7439" width="8" style="20" customWidth="1"/>
    <col min="7440" max="7681" width="10.125" style="20"/>
    <col min="7682" max="7682" width="3.625" style="20" customWidth="1"/>
    <col min="7683" max="7683" width="32.875" style="20" customWidth="1"/>
    <col min="7684" max="7684" width="22" style="20" customWidth="1"/>
    <col min="7685" max="7685" width="12.75" style="20" customWidth="1"/>
    <col min="7686" max="7686" width="14" style="20" customWidth="1"/>
    <col min="7687" max="7687" width="18.5" style="20" customWidth="1"/>
    <col min="7688" max="7688" width="11.75" style="20" customWidth="1"/>
    <col min="7689" max="7689" width="13.25" style="20" customWidth="1"/>
    <col min="7690" max="7690" width="13" style="20" customWidth="1"/>
    <col min="7691" max="7691" width="16.25" style="20" customWidth="1"/>
    <col min="7692" max="7692" width="6" style="20" customWidth="1"/>
    <col min="7693" max="7693" width="6.125" style="20" customWidth="1"/>
    <col min="7694" max="7694" width="14.75" style="20" customWidth="1"/>
    <col min="7695" max="7695" width="8" style="20" customWidth="1"/>
    <col min="7696" max="7937" width="10.125" style="20"/>
    <col min="7938" max="7938" width="3.625" style="20" customWidth="1"/>
    <col min="7939" max="7939" width="32.875" style="20" customWidth="1"/>
    <col min="7940" max="7940" width="22" style="20" customWidth="1"/>
    <col min="7941" max="7941" width="12.75" style="20" customWidth="1"/>
    <col min="7942" max="7942" width="14" style="20" customWidth="1"/>
    <col min="7943" max="7943" width="18.5" style="20" customWidth="1"/>
    <col min="7944" max="7944" width="11.75" style="20" customWidth="1"/>
    <col min="7945" max="7945" width="13.25" style="20" customWidth="1"/>
    <col min="7946" max="7946" width="13" style="20" customWidth="1"/>
    <col min="7947" max="7947" width="16.25" style="20" customWidth="1"/>
    <col min="7948" max="7948" width="6" style="20" customWidth="1"/>
    <col min="7949" max="7949" width="6.125" style="20" customWidth="1"/>
    <col min="7950" max="7950" width="14.75" style="20" customWidth="1"/>
    <col min="7951" max="7951" width="8" style="20" customWidth="1"/>
    <col min="7952" max="8193" width="10.125" style="20"/>
    <col min="8194" max="8194" width="3.625" style="20" customWidth="1"/>
    <col min="8195" max="8195" width="32.875" style="20" customWidth="1"/>
    <col min="8196" max="8196" width="22" style="20" customWidth="1"/>
    <col min="8197" max="8197" width="12.75" style="20" customWidth="1"/>
    <col min="8198" max="8198" width="14" style="20" customWidth="1"/>
    <col min="8199" max="8199" width="18.5" style="20" customWidth="1"/>
    <col min="8200" max="8200" width="11.75" style="20" customWidth="1"/>
    <col min="8201" max="8201" width="13.25" style="20" customWidth="1"/>
    <col min="8202" max="8202" width="13" style="20" customWidth="1"/>
    <col min="8203" max="8203" width="16.25" style="20" customWidth="1"/>
    <col min="8204" max="8204" width="6" style="20" customWidth="1"/>
    <col min="8205" max="8205" width="6.125" style="20" customWidth="1"/>
    <col min="8206" max="8206" width="14.75" style="20" customWidth="1"/>
    <col min="8207" max="8207" width="8" style="20" customWidth="1"/>
    <col min="8208" max="8449" width="10.125" style="20"/>
    <col min="8450" max="8450" width="3.625" style="20" customWidth="1"/>
    <col min="8451" max="8451" width="32.875" style="20" customWidth="1"/>
    <col min="8452" max="8452" width="22" style="20" customWidth="1"/>
    <col min="8453" max="8453" width="12.75" style="20" customWidth="1"/>
    <col min="8454" max="8454" width="14" style="20" customWidth="1"/>
    <col min="8455" max="8455" width="18.5" style="20" customWidth="1"/>
    <col min="8456" max="8456" width="11.75" style="20" customWidth="1"/>
    <col min="8457" max="8457" width="13.25" style="20" customWidth="1"/>
    <col min="8458" max="8458" width="13" style="20" customWidth="1"/>
    <col min="8459" max="8459" width="16.25" style="20" customWidth="1"/>
    <col min="8460" max="8460" width="6" style="20" customWidth="1"/>
    <col min="8461" max="8461" width="6.125" style="20" customWidth="1"/>
    <col min="8462" max="8462" width="14.75" style="20" customWidth="1"/>
    <col min="8463" max="8463" width="8" style="20" customWidth="1"/>
    <col min="8464" max="8705" width="10.125" style="20"/>
    <col min="8706" max="8706" width="3.625" style="20" customWidth="1"/>
    <col min="8707" max="8707" width="32.875" style="20" customWidth="1"/>
    <col min="8708" max="8708" width="22" style="20" customWidth="1"/>
    <col min="8709" max="8709" width="12.75" style="20" customWidth="1"/>
    <col min="8710" max="8710" width="14" style="20" customWidth="1"/>
    <col min="8711" max="8711" width="18.5" style="20" customWidth="1"/>
    <col min="8712" max="8712" width="11.75" style="20" customWidth="1"/>
    <col min="8713" max="8713" width="13.25" style="20" customWidth="1"/>
    <col min="8714" max="8714" width="13" style="20" customWidth="1"/>
    <col min="8715" max="8715" width="16.25" style="20" customWidth="1"/>
    <col min="8716" max="8716" width="6" style="20" customWidth="1"/>
    <col min="8717" max="8717" width="6.125" style="20" customWidth="1"/>
    <col min="8718" max="8718" width="14.75" style="20" customWidth="1"/>
    <col min="8719" max="8719" width="8" style="20" customWidth="1"/>
    <col min="8720" max="8961" width="10.125" style="20"/>
    <col min="8962" max="8962" width="3.625" style="20" customWidth="1"/>
    <col min="8963" max="8963" width="32.875" style="20" customWidth="1"/>
    <col min="8964" max="8964" width="22" style="20" customWidth="1"/>
    <col min="8965" max="8965" width="12.75" style="20" customWidth="1"/>
    <col min="8966" max="8966" width="14" style="20" customWidth="1"/>
    <col min="8967" max="8967" width="18.5" style="20" customWidth="1"/>
    <col min="8968" max="8968" width="11.75" style="20" customWidth="1"/>
    <col min="8969" max="8969" width="13.25" style="20" customWidth="1"/>
    <col min="8970" max="8970" width="13" style="20" customWidth="1"/>
    <col min="8971" max="8971" width="16.25" style="20" customWidth="1"/>
    <col min="8972" max="8972" width="6" style="20" customWidth="1"/>
    <col min="8973" max="8973" width="6.125" style="20" customWidth="1"/>
    <col min="8974" max="8974" width="14.75" style="20" customWidth="1"/>
    <col min="8975" max="8975" width="8" style="20" customWidth="1"/>
    <col min="8976" max="9217" width="10.125" style="20"/>
    <col min="9218" max="9218" width="3.625" style="20" customWidth="1"/>
    <col min="9219" max="9219" width="32.875" style="20" customWidth="1"/>
    <col min="9220" max="9220" width="22" style="20" customWidth="1"/>
    <col min="9221" max="9221" width="12.75" style="20" customWidth="1"/>
    <col min="9222" max="9222" width="14" style="20" customWidth="1"/>
    <col min="9223" max="9223" width="18.5" style="20" customWidth="1"/>
    <col min="9224" max="9224" width="11.75" style="20" customWidth="1"/>
    <col min="9225" max="9225" width="13.25" style="20" customWidth="1"/>
    <col min="9226" max="9226" width="13" style="20" customWidth="1"/>
    <col min="9227" max="9227" width="16.25" style="20" customWidth="1"/>
    <col min="9228" max="9228" width="6" style="20" customWidth="1"/>
    <col min="9229" max="9229" width="6.125" style="20" customWidth="1"/>
    <col min="9230" max="9230" width="14.75" style="20" customWidth="1"/>
    <col min="9231" max="9231" width="8" style="20" customWidth="1"/>
    <col min="9232" max="9473" width="10.125" style="20"/>
    <col min="9474" max="9474" width="3.625" style="20" customWidth="1"/>
    <col min="9475" max="9475" width="32.875" style="20" customWidth="1"/>
    <col min="9476" max="9476" width="22" style="20" customWidth="1"/>
    <col min="9477" max="9477" width="12.75" style="20" customWidth="1"/>
    <col min="9478" max="9478" width="14" style="20" customWidth="1"/>
    <col min="9479" max="9479" width="18.5" style="20" customWidth="1"/>
    <col min="9480" max="9480" width="11.75" style="20" customWidth="1"/>
    <col min="9481" max="9481" width="13.25" style="20" customWidth="1"/>
    <col min="9482" max="9482" width="13" style="20" customWidth="1"/>
    <col min="9483" max="9483" width="16.25" style="20" customWidth="1"/>
    <col min="9484" max="9484" width="6" style="20" customWidth="1"/>
    <col min="9485" max="9485" width="6.125" style="20" customWidth="1"/>
    <col min="9486" max="9486" width="14.75" style="20" customWidth="1"/>
    <col min="9487" max="9487" width="8" style="20" customWidth="1"/>
    <col min="9488" max="9729" width="10.125" style="20"/>
    <col min="9730" max="9730" width="3.625" style="20" customWidth="1"/>
    <col min="9731" max="9731" width="32.875" style="20" customWidth="1"/>
    <col min="9732" max="9732" width="22" style="20" customWidth="1"/>
    <col min="9733" max="9733" width="12.75" style="20" customWidth="1"/>
    <col min="9734" max="9734" width="14" style="20" customWidth="1"/>
    <col min="9735" max="9735" width="18.5" style="20" customWidth="1"/>
    <col min="9736" max="9736" width="11.75" style="20" customWidth="1"/>
    <col min="9737" max="9737" width="13.25" style="20" customWidth="1"/>
    <col min="9738" max="9738" width="13" style="20" customWidth="1"/>
    <col min="9739" max="9739" width="16.25" style="20" customWidth="1"/>
    <col min="9740" max="9740" width="6" style="20" customWidth="1"/>
    <col min="9741" max="9741" width="6.125" style="20" customWidth="1"/>
    <col min="9742" max="9742" width="14.75" style="20" customWidth="1"/>
    <col min="9743" max="9743" width="8" style="20" customWidth="1"/>
    <col min="9744" max="9985" width="10.125" style="20"/>
    <col min="9986" max="9986" width="3.625" style="20" customWidth="1"/>
    <col min="9987" max="9987" width="32.875" style="20" customWidth="1"/>
    <col min="9988" max="9988" width="22" style="20" customWidth="1"/>
    <col min="9989" max="9989" width="12.75" style="20" customWidth="1"/>
    <col min="9990" max="9990" width="14" style="20" customWidth="1"/>
    <col min="9991" max="9991" width="18.5" style="20" customWidth="1"/>
    <col min="9992" max="9992" width="11.75" style="20" customWidth="1"/>
    <col min="9993" max="9993" width="13.25" style="20" customWidth="1"/>
    <col min="9994" max="9994" width="13" style="20" customWidth="1"/>
    <col min="9995" max="9995" width="16.25" style="20" customWidth="1"/>
    <col min="9996" max="9996" width="6" style="20" customWidth="1"/>
    <col min="9997" max="9997" width="6.125" style="20" customWidth="1"/>
    <col min="9998" max="9998" width="14.75" style="20" customWidth="1"/>
    <col min="9999" max="9999" width="8" style="20" customWidth="1"/>
    <col min="10000" max="10241" width="10.125" style="20"/>
    <col min="10242" max="10242" width="3.625" style="20" customWidth="1"/>
    <col min="10243" max="10243" width="32.875" style="20" customWidth="1"/>
    <col min="10244" max="10244" width="22" style="20" customWidth="1"/>
    <col min="10245" max="10245" width="12.75" style="20" customWidth="1"/>
    <col min="10246" max="10246" width="14" style="20" customWidth="1"/>
    <col min="10247" max="10247" width="18.5" style="20" customWidth="1"/>
    <col min="10248" max="10248" width="11.75" style="20" customWidth="1"/>
    <col min="10249" max="10249" width="13.25" style="20" customWidth="1"/>
    <col min="10250" max="10250" width="13" style="20" customWidth="1"/>
    <col min="10251" max="10251" width="16.25" style="20" customWidth="1"/>
    <col min="10252" max="10252" width="6" style="20" customWidth="1"/>
    <col min="10253" max="10253" width="6.125" style="20" customWidth="1"/>
    <col min="10254" max="10254" width="14.75" style="20" customWidth="1"/>
    <col min="10255" max="10255" width="8" style="20" customWidth="1"/>
    <col min="10256" max="10497" width="10.125" style="20"/>
    <col min="10498" max="10498" width="3.625" style="20" customWidth="1"/>
    <col min="10499" max="10499" width="32.875" style="20" customWidth="1"/>
    <col min="10500" max="10500" width="22" style="20" customWidth="1"/>
    <col min="10501" max="10501" width="12.75" style="20" customWidth="1"/>
    <col min="10502" max="10502" width="14" style="20" customWidth="1"/>
    <col min="10503" max="10503" width="18.5" style="20" customWidth="1"/>
    <col min="10504" max="10504" width="11.75" style="20" customWidth="1"/>
    <col min="10505" max="10505" width="13.25" style="20" customWidth="1"/>
    <col min="10506" max="10506" width="13" style="20" customWidth="1"/>
    <col min="10507" max="10507" width="16.25" style="20" customWidth="1"/>
    <col min="10508" max="10508" width="6" style="20" customWidth="1"/>
    <col min="10509" max="10509" width="6.125" style="20" customWidth="1"/>
    <col min="10510" max="10510" width="14.75" style="20" customWidth="1"/>
    <col min="10511" max="10511" width="8" style="20" customWidth="1"/>
    <col min="10512" max="10753" width="10.125" style="20"/>
    <col min="10754" max="10754" width="3.625" style="20" customWidth="1"/>
    <col min="10755" max="10755" width="32.875" style="20" customWidth="1"/>
    <col min="10756" max="10756" width="22" style="20" customWidth="1"/>
    <col min="10757" max="10757" width="12.75" style="20" customWidth="1"/>
    <col min="10758" max="10758" width="14" style="20" customWidth="1"/>
    <col min="10759" max="10759" width="18.5" style="20" customWidth="1"/>
    <col min="10760" max="10760" width="11.75" style="20" customWidth="1"/>
    <col min="10761" max="10761" width="13.25" style="20" customWidth="1"/>
    <col min="10762" max="10762" width="13" style="20" customWidth="1"/>
    <col min="10763" max="10763" width="16.25" style="20" customWidth="1"/>
    <col min="10764" max="10764" width="6" style="20" customWidth="1"/>
    <col min="10765" max="10765" width="6.125" style="20" customWidth="1"/>
    <col min="10766" max="10766" width="14.75" style="20" customWidth="1"/>
    <col min="10767" max="10767" width="8" style="20" customWidth="1"/>
    <col min="10768" max="11009" width="10.125" style="20"/>
    <col min="11010" max="11010" width="3.625" style="20" customWidth="1"/>
    <col min="11011" max="11011" width="32.875" style="20" customWidth="1"/>
    <col min="11012" max="11012" width="22" style="20" customWidth="1"/>
    <col min="11013" max="11013" width="12.75" style="20" customWidth="1"/>
    <col min="11014" max="11014" width="14" style="20" customWidth="1"/>
    <col min="11015" max="11015" width="18.5" style="20" customWidth="1"/>
    <col min="11016" max="11016" width="11.75" style="20" customWidth="1"/>
    <col min="11017" max="11017" width="13.25" style="20" customWidth="1"/>
    <col min="11018" max="11018" width="13" style="20" customWidth="1"/>
    <col min="11019" max="11019" width="16.25" style="20" customWidth="1"/>
    <col min="11020" max="11020" width="6" style="20" customWidth="1"/>
    <col min="11021" max="11021" width="6.125" style="20" customWidth="1"/>
    <col min="11022" max="11022" width="14.75" style="20" customWidth="1"/>
    <col min="11023" max="11023" width="8" style="20" customWidth="1"/>
    <col min="11024" max="11265" width="10.125" style="20"/>
    <col min="11266" max="11266" width="3.625" style="20" customWidth="1"/>
    <col min="11267" max="11267" width="32.875" style="20" customWidth="1"/>
    <col min="11268" max="11268" width="22" style="20" customWidth="1"/>
    <col min="11269" max="11269" width="12.75" style="20" customWidth="1"/>
    <col min="11270" max="11270" width="14" style="20" customWidth="1"/>
    <col min="11271" max="11271" width="18.5" style="20" customWidth="1"/>
    <col min="11272" max="11272" width="11.75" style="20" customWidth="1"/>
    <col min="11273" max="11273" width="13.25" style="20" customWidth="1"/>
    <col min="11274" max="11274" width="13" style="20" customWidth="1"/>
    <col min="11275" max="11275" width="16.25" style="20" customWidth="1"/>
    <col min="11276" max="11276" width="6" style="20" customWidth="1"/>
    <col min="11277" max="11277" width="6.125" style="20" customWidth="1"/>
    <col min="11278" max="11278" width="14.75" style="20" customWidth="1"/>
    <col min="11279" max="11279" width="8" style="20" customWidth="1"/>
    <col min="11280" max="11521" width="10.125" style="20"/>
    <col min="11522" max="11522" width="3.625" style="20" customWidth="1"/>
    <col min="11523" max="11523" width="32.875" style="20" customWidth="1"/>
    <col min="11524" max="11524" width="22" style="20" customWidth="1"/>
    <col min="11525" max="11525" width="12.75" style="20" customWidth="1"/>
    <col min="11526" max="11526" width="14" style="20" customWidth="1"/>
    <col min="11527" max="11527" width="18.5" style="20" customWidth="1"/>
    <col min="11528" max="11528" width="11.75" style="20" customWidth="1"/>
    <col min="11529" max="11529" width="13.25" style="20" customWidth="1"/>
    <col min="11530" max="11530" width="13" style="20" customWidth="1"/>
    <col min="11531" max="11531" width="16.25" style="20" customWidth="1"/>
    <col min="11532" max="11532" width="6" style="20" customWidth="1"/>
    <col min="11533" max="11533" width="6.125" style="20" customWidth="1"/>
    <col min="11534" max="11534" width="14.75" style="20" customWidth="1"/>
    <col min="11535" max="11535" width="8" style="20" customWidth="1"/>
    <col min="11536" max="11777" width="10.125" style="20"/>
    <col min="11778" max="11778" width="3.625" style="20" customWidth="1"/>
    <col min="11779" max="11779" width="32.875" style="20" customWidth="1"/>
    <col min="11780" max="11780" width="22" style="20" customWidth="1"/>
    <col min="11781" max="11781" width="12.75" style="20" customWidth="1"/>
    <col min="11782" max="11782" width="14" style="20" customWidth="1"/>
    <col min="11783" max="11783" width="18.5" style="20" customWidth="1"/>
    <col min="11784" max="11784" width="11.75" style="20" customWidth="1"/>
    <col min="11785" max="11785" width="13.25" style="20" customWidth="1"/>
    <col min="11786" max="11786" width="13" style="20" customWidth="1"/>
    <col min="11787" max="11787" width="16.25" style="20" customWidth="1"/>
    <col min="11788" max="11788" width="6" style="20" customWidth="1"/>
    <col min="11789" max="11789" width="6.125" style="20" customWidth="1"/>
    <col min="11790" max="11790" width="14.75" style="20" customWidth="1"/>
    <col min="11791" max="11791" width="8" style="20" customWidth="1"/>
    <col min="11792" max="12033" width="10.125" style="20"/>
    <col min="12034" max="12034" width="3.625" style="20" customWidth="1"/>
    <col min="12035" max="12035" width="32.875" style="20" customWidth="1"/>
    <col min="12036" max="12036" width="22" style="20" customWidth="1"/>
    <col min="12037" max="12037" width="12.75" style="20" customWidth="1"/>
    <col min="12038" max="12038" width="14" style="20" customWidth="1"/>
    <col min="12039" max="12039" width="18.5" style="20" customWidth="1"/>
    <col min="12040" max="12040" width="11.75" style="20" customWidth="1"/>
    <col min="12041" max="12041" width="13.25" style="20" customWidth="1"/>
    <col min="12042" max="12042" width="13" style="20" customWidth="1"/>
    <col min="12043" max="12043" width="16.25" style="20" customWidth="1"/>
    <col min="12044" max="12044" width="6" style="20" customWidth="1"/>
    <col min="12045" max="12045" width="6.125" style="20" customWidth="1"/>
    <col min="12046" max="12046" width="14.75" style="20" customWidth="1"/>
    <col min="12047" max="12047" width="8" style="20" customWidth="1"/>
    <col min="12048" max="12289" width="10.125" style="20"/>
    <col min="12290" max="12290" width="3.625" style="20" customWidth="1"/>
    <col min="12291" max="12291" width="32.875" style="20" customWidth="1"/>
    <col min="12292" max="12292" width="22" style="20" customWidth="1"/>
    <col min="12293" max="12293" width="12.75" style="20" customWidth="1"/>
    <col min="12294" max="12294" width="14" style="20" customWidth="1"/>
    <col min="12295" max="12295" width="18.5" style="20" customWidth="1"/>
    <col min="12296" max="12296" width="11.75" style="20" customWidth="1"/>
    <col min="12297" max="12297" width="13.25" style="20" customWidth="1"/>
    <col min="12298" max="12298" width="13" style="20" customWidth="1"/>
    <col min="12299" max="12299" width="16.25" style="20" customWidth="1"/>
    <col min="12300" max="12300" width="6" style="20" customWidth="1"/>
    <col min="12301" max="12301" width="6.125" style="20" customWidth="1"/>
    <col min="12302" max="12302" width="14.75" style="20" customWidth="1"/>
    <col min="12303" max="12303" width="8" style="20" customWidth="1"/>
    <col min="12304" max="12545" width="10.125" style="20"/>
    <col min="12546" max="12546" width="3.625" style="20" customWidth="1"/>
    <col min="12547" max="12547" width="32.875" style="20" customWidth="1"/>
    <col min="12548" max="12548" width="22" style="20" customWidth="1"/>
    <col min="12549" max="12549" width="12.75" style="20" customWidth="1"/>
    <col min="12550" max="12550" width="14" style="20" customWidth="1"/>
    <col min="12551" max="12551" width="18.5" style="20" customWidth="1"/>
    <col min="12552" max="12552" width="11.75" style="20" customWidth="1"/>
    <col min="12553" max="12553" width="13.25" style="20" customWidth="1"/>
    <col min="12554" max="12554" width="13" style="20" customWidth="1"/>
    <col min="12555" max="12555" width="16.25" style="20" customWidth="1"/>
    <col min="12556" max="12556" width="6" style="20" customWidth="1"/>
    <col min="12557" max="12557" width="6.125" style="20" customWidth="1"/>
    <col min="12558" max="12558" width="14.75" style="20" customWidth="1"/>
    <col min="12559" max="12559" width="8" style="20" customWidth="1"/>
    <col min="12560" max="12801" width="10.125" style="20"/>
    <col min="12802" max="12802" width="3.625" style="20" customWidth="1"/>
    <col min="12803" max="12803" width="32.875" style="20" customWidth="1"/>
    <col min="12804" max="12804" width="22" style="20" customWidth="1"/>
    <col min="12805" max="12805" width="12.75" style="20" customWidth="1"/>
    <col min="12806" max="12806" width="14" style="20" customWidth="1"/>
    <col min="12807" max="12807" width="18.5" style="20" customWidth="1"/>
    <col min="12808" max="12808" width="11.75" style="20" customWidth="1"/>
    <col min="12809" max="12809" width="13.25" style="20" customWidth="1"/>
    <col min="12810" max="12810" width="13" style="20" customWidth="1"/>
    <col min="12811" max="12811" width="16.25" style="20" customWidth="1"/>
    <col min="12812" max="12812" width="6" style="20" customWidth="1"/>
    <col min="12813" max="12813" width="6.125" style="20" customWidth="1"/>
    <col min="12814" max="12814" width="14.75" style="20" customWidth="1"/>
    <col min="12815" max="12815" width="8" style="20" customWidth="1"/>
    <col min="12816" max="13057" width="10.125" style="20"/>
    <col min="13058" max="13058" width="3.625" style="20" customWidth="1"/>
    <col min="13059" max="13059" width="32.875" style="20" customWidth="1"/>
    <col min="13060" max="13060" width="22" style="20" customWidth="1"/>
    <col min="13061" max="13061" width="12.75" style="20" customWidth="1"/>
    <col min="13062" max="13062" width="14" style="20" customWidth="1"/>
    <col min="13063" max="13063" width="18.5" style="20" customWidth="1"/>
    <col min="13064" max="13064" width="11.75" style="20" customWidth="1"/>
    <col min="13065" max="13065" width="13.25" style="20" customWidth="1"/>
    <col min="13066" max="13066" width="13" style="20" customWidth="1"/>
    <col min="13067" max="13067" width="16.25" style="20" customWidth="1"/>
    <col min="13068" max="13068" width="6" style="20" customWidth="1"/>
    <col min="13069" max="13069" width="6.125" style="20" customWidth="1"/>
    <col min="13070" max="13070" width="14.75" style="20" customWidth="1"/>
    <col min="13071" max="13071" width="8" style="20" customWidth="1"/>
    <col min="13072" max="13313" width="10.125" style="20"/>
    <col min="13314" max="13314" width="3.625" style="20" customWidth="1"/>
    <col min="13315" max="13315" width="32.875" style="20" customWidth="1"/>
    <col min="13316" max="13316" width="22" style="20" customWidth="1"/>
    <col min="13317" max="13317" width="12.75" style="20" customWidth="1"/>
    <col min="13318" max="13318" width="14" style="20" customWidth="1"/>
    <col min="13319" max="13319" width="18.5" style="20" customWidth="1"/>
    <col min="13320" max="13320" width="11.75" style="20" customWidth="1"/>
    <col min="13321" max="13321" width="13.25" style="20" customWidth="1"/>
    <col min="13322" max="13322" width="13" style="20" customWidth="1"/>
    <col min="13323" max="13323" width="16.25" style="20" customWidth="1"/>
    <col min="13324" max="13324" width="6" style="20" customWidth="1"/>
    <col min="13325" max="13325" width="6.125" style="20" customWidth="1"/>
    <col min="13326" max="13326" width="14.75" style="20" customWidth="1"/>
    <col min="13327" max="13327" width="8" style="20" customWidth="1"/>
    <col min="13328" max="13569" width="10.125" style="20"/>
    <col min="13570" max="13570" width="3.625" style="20" customWidth="1"/>
    <col min="13571" max="13571" width="32.875" style="20" customWidth="1"/>
    <col min="13572" max="13572" width="22" style="20" customWidth="1"/>
    <col min="13573" max="13573" width="12.75" style="20" customWidth="1"/>
    <col min="13574" max="13574" width="14" style="20" customWidth="1"/>
    <col min="13575" max="13575" width="18.5" style="20" customWidth="1"/>
    <col min="13576" max="13576" width="11.75" style="20" customWidth="1"/>
    <col min="13577" max="13577" width="13.25" style="20" customWidth="1"/>
    <col min="13578" max="13578" width="13" style="20" customWidth="1"/>
    <col min="13579" max="13579" width="16.25" style="20" customWidth="1"/>
    <col min="13580" max="13580" width="6" style="20" customWidth="1"/>
    <col min="13581" max="13581" width="6.125" style="20" customWidth="1"/>
    <col min="13582" max="13582" width="14.75" style="20" customWidth="1"/>
    <col min="13583" max="13583" width="8" style="20" customWidth="1"/>
    <col min="13584" max="13825" width="10.125" style="20"/>
    <col min="13826" max="13826" width="3.625" style="20" customWidth="1"/>
    <col min="13827" max="13827" width="32.875" style="20" customWidth="1"/>
    <col min="13828" max="13828" width="22" style="20" customWidth="1"/>
    <col min="13829" max="13829" width="12.75" style="20" customWidth="1"/>
    <col min="13830" max="13830" width="14" style="20" customWidth="1"/>
    <col min="13831" max="13831" width="18.5" style="20" customWidth="1"/>
    <col min="13832" max="13832" width="11.75" style="20" customWidth="1"/>
    <col min="13833" max="13833" width="13.25" style="20" customWidth="1"/>
    <col min="13834" max="13834" width="13" style="20" customWidth="1"/>
    <col min="13835" max="13835" width="16.25" style="20" customWidth="1"/>
    <col min="13836" max="13836" width="6" style="20" customWidth="1"/>
    <col min="13837" max="13837" width="6.125" style="20" customWidth="1"/>
    <col min="13838" max="13838" width="14.75" style="20" customWidth="1"/>
    <col min="13839" max="13839" width="8" style="20" customWidth="1"/>
    <col min="13840" max="14081" width="10.125" style="20"/>
    <col min="14082" max="14082" width="3.625" style="20" customWidth="1"/>
    <col min="14083" max="14083" width="32.875" style="20" customWidth="1"/>
    <col min="14084" max="14084" width="22" style="20" customWidth="1"/>
    <col min="14085" max="14085" width="12.75" style="20" customWidth="1"/>
    <col min="14086" max="14086" width="14" style="20" customWidth="1"/>
    <col min="14087" max="14087" width="18.5" style="20" customWidth="1"/>
    <col min="14088" max="14088" width="11.75" style="20" customWidth="1"/>
    <col min="14089" max="14089" width="13.25" style="20" customWidth="1"/>
    <col min="14090" max="14090" width="13" style="20" customWidth="1"/>
    <col min="14091" max="14091" width="16.25" style="20" customWidth="1"/>
    <col min="14092" max="14092" width="6" style="20" customWidth="1"/>
    <col min="14093" max="14093" width="6.125" style="20" customWidth="1"/>
    <col min="14094" max="14094" width="14.75" style="20" customWidth="1"/>
    <col min="14095" max="14095" width="8" style="20" customWidth="1"/>
    <col min="14096" max="14337" width="10.125" style="20"/>
    <col min="14338" max="14338" width="3.625" style="20" customWidth="1"/>
    <col min="14339" max="14339" width="32.875" style="20" customWidth="1"/>
    <col min="14340" max="14340" width="22" style="20" customWidth="1"/>
    <col min="14341" max="14341" width="12.75" style="20" customWidth="1"/>
    <col min="14342" max="14342" width="14" style="20" customWidth="1"/>
    <col min="14343" max="14343" width="18.5" style="20" customWidth="1"/>
    <col min="14344" max="14344" width="11.75" style="20" customWidth="1"/>
    <col min="14345" max="14345" width="13.25" style="20" customWidth="1"/>
    <col min="14346" max="14346" width="13" style="20" customWidth="1"/>
    <col min="14347" max="14347" width="16.25" style="20" customWidth="1"/>
    <col min="14348" max="14348" width="6" style="20" customWidth="1"/>
    <col min="14349" max="14349" width="6.125" style="20" customWidth="1"/>
    <col min="14350" max="14350" width="14.75" style="20" customWidth="1"/>
    <col min="14351" max="14351" width="8" style="20" customWidth="1"/>
    <col min="14352" max="14593" width="10.125" style="20"/>
    <col min="14594" max="14594" width="3.625" style="20" customWidth="1"/>
    <col min="14595" max="14595" width="32.875" style="20" customWidth="1"/>
    <col min="14596" max="14596" width="22" style="20" customWidth="1"/>
    <col min="14597" max="14597" width="12.75" style="20" customWidth="1"/>
    <col min="14598" max="14598" width="14" style="20" customWidth="1"/>
    <col min="14599" max="14599" width="18.5" style="20" customWidth="1"/>
    <col min="14600" max="14600" width="11.75" style="20" customWidth="1"/>
    <col min="14601" max="14601" width="13.25" style="20" customWidth="1"/>
    <col min="14602" max="14602" width="13" style="20" customWidth="1"/>
    <col min="14603" max="14603" width="16.25" style="20" customWidth="1"/>
    <col min="14604" max="14604" width="6" style="20" customWidth="1"/>
    <col min="14605" max="14605" width="6.125" style="20" customWidth="1"/>
    <col min="14606" max="14606" width="14.75" style="20" customWidth="1"/>
    <col min="14607" max="14607" width="8" style="20" customWidth="1"/>
    <col min="14608" max="14849" width="10.125" style="20"/>
    <col min="14850" max="14850" width="3.625" style="20" customWidth="1"/>
    <col min="14851" max="14851" width="32.875" style="20" customWidth="1"/>
    <col min="14852" max="14852" width="22" style="20" customWidth="1"/>
    <col min="14853" max="14853" width="12.75" style="20" customWidth="1"/>
    <col min="14854" max="14854" width="14" style="20" customWidth="1"/>
    <col min="14855" max="14855" width="18.5" style="20" customWidth="1"/>
    <col min="14856" max="14856" width="11.75" style="20" customWidth="1"/>
    <col min="14857" max="14857" width="13.25" style="20" customWidth="1"/>
    <col min="14858" max="14858" width="13" style="20" customWidth="1"/>
    <col min="14859" max="14859" width="16.25" style="20" customWidth="1"/>
    <col min="14860" max="14860" width="6" style="20" customWidth="1"/>
    <col min="14861" max="14861" width="6.125" style="20" customWidth="1"/>
    <col min="14862" max="14862" width="14.75" style="20" customWidth="1"/>
    <col min="14863" max="14863" width="8" style="20" customWidth="1"/>
    <col min="14864" max="15105" width="10.125" style="20"/>
    <col min="15106" max="15106" width="3.625" style="20" customWidth="1"/>
    <col min="15107" max="15107" width="32.875" style="20" customWidth="1"/>
    <col min="15108" max="15108" width="22" style="20" customWidth="1"/>
    <col min="15109" max="15109" width="12.75" style="20" customWidth="1"/>
    <col min="15110" max="15110" width="14" style="20" customWidth="1"/>
    <col min="15111" max="15111" width="18.5" style="20" customWidth="1"/>
    <col min="15112" max="15112" width="11.75" style="20" customWidth="1"/>
    <col min="15113" max="15113" width="13.25" style="20" customWidth="1"/>
    <col min="15114" max="15114" width="13" style="20" customWidth="1"/>
    <col min="15115" max="15115" width="16.25" style="20" customWidth="1"/>
    <col min="15116" max="15116" width="6" style="20" customWidth="1"/>
    <col min="15117" max="15117" width="6.125" style="20" customWidth="1"/>
    <col min="15118" max="15118" width="14.75" style="20" customWidth="1"/>
    <col min="15119" max="15119" width="8" style="20" customWidth="1"/>
    <col min="15120" max="15361" width="10.125" style="20"/>
    <col min="15362" max="15362" width="3.625" style="20" customWidth="1"/>
    <col min="15363" max="15363" width="32.875" style="20" customWidth="1"/>
    <col min="15364" max="15364" width="22" style="20" customWidth="1"/>
    <col min="15365" max="15365" width="12.75" style="20" customWidth="1"/>
    <col min="15366" max="15366" width="14" style="20" customWidth="1"/>
    <col min="15367" max="15367" width="18.5" style="20" customWidth="1"/>
    <col min="15368" max="15368" width="11.75" style="20" customWidth="1"/>
    <col min="15369" max="15369" width="13.25" style="20" customWidth="1"/>
    <col min="15370" max="15370" width="13" style="20" customWidth="1"/>
    <col min="15371" max="15371" width="16.25" style="20" customWidth="1"/>
    <col min="15372" max="15372" width="6" style="20" customWidth="1"/>
    <col min="15373" max="15373" width="6.125" style="20" customWidth="1"/>
    <col min="15374" max="15374" width="14.75" style="20" customWidth="1"/>
    <col min="15375" max="15375" width="8" style="20" customWidth="1"/>
    <col min="15376" max="15617" width="10.125" style="20"/>
    <col min="15618" max="15618" width="3.625" style="20" customWidth="1"/>
    <col min="15619" max="15619" width="32.875" style="20" customWidth="1"/>
    <col min="15620" max="15620" width="22" style="20" customWidth="1"/>
    <col min="15621" max="15621" width="12.75" style="20" customWidth="1"/>
    <col min="15622" max="15622" width="14" style="20" customWidth="1"/>
    <col min="15623" max="15623" width="18.5" style="20" customWidth="1"/>
    <col min="15624" max="15624" width="11.75" style="20" customWidth="1"/>
    <col min="15625" max="15625" width="13.25" style="20" customWidth="1"/>
    <col min="15626" max="15626" width="13" style="20" customWidth="1"/>
    <col min="15627" max="15627" width="16.25" style="20" customWidth="1"/>
    <col min="15628" max="15628" width="6" style="20" customWidth="1"/>
    <col min="15629" max="15629" width="6.125" style="20" customWidth="1"/>
    <col min="15630" max="15630" width="14.75" style="20" customWidth="1"/>
    <col min="15631" max="15631" width="8" style="20" customWidth="1"/>
    <col min="15632" max="15873" width="10.125" style="20"/>
    <col min="15874" max="15874" width="3.625" style="20" customWidth="1"/>
    <col min="15875" max="15875" width="32.875" style="20" customWidth="1"/>
    <col min="15876" max="15876" width="22" style="20" customWidth="1"/>
    <col min="15877" max="15877" width="12.75" style="20" customWidth="1"/>
    <col min="15878" max="15878" width="14" style="20" customWidth="1"/>
    <col min="15879" max="15879" width="18.5" style="20" customWidth="1"/>
    <col min="15880" max="15880" width="11.75" style="20" customWidth="1"/>
    <col min="15881" max="15881" width="13.25" style="20" customWidth="1"/>
    <col min="15882" max="15882" width="13" style="20" customWidth="1"/>
    <col min="15883" max="15883" width="16.25" style="20" customWidth="1"/>
    <col min="15884" max="15884" width="6" style="20" customWidth="1"/>
    <col min="15885" max="15885" width="6.125" style="20" customWidth="1"/>
    <col min="15886" max="15886" width="14.75" style="20" customWidth="1"/>
    <col min="15887" max="15887" width="8" style="20" customWidth="1"/>
    <col min="15888" max="16129" width="10.125" style="20"/>
    <col min="16130" max="16130" width="3.625" style="20" customWidth="1"/>
    <col min="16131" max="16131" width="32.875" style="20" customWidth="1"/>
    <col min="16132" max="16132" width="22" style="20" customWidth="1"/>
    <col min="16133" max="16133" width="12.75" style="20" customWidth="1"/>
    <col min="16134" max="16134" width="14" style="20" customWidth="1"/>
    <col min="16135" max="16135" width="18.5" style="20" customWidth="1"/>
    <col min="16136" max="16136" width="11.75" style="20" customWidth="1"/>
    <col min="16137" max="16137" width="13.25" style="20" customWidth="1"/>
    <col min="16138" max="16138" width="13" style="20" customWidth="1"/>
    <col min="16139" max="16139" width="16.25" style="20" customWidth="1"/>
    <col min="16140" max="16140" width="6" style="20" customWidth="1"/>
    <col min="16141" max="16141" width="6.125" style="20" customWidth="1"/>
    <col min="16142" max="16142" width="14.75" style="20" customWidth="1"/>
    <col min="16143" max="16143" width="8" style="20" customWidth="1"/>
    <col min="16144" max="16384" width="10.125" style="20"/>
  </cols>
  <sheetData>
    <row r="1" spans="2:37" s="146" customFormat="1" ht="31.7" customHeight="1" x14ac:dyDescent="0.25">
      <c r="B1" s="575"/>
      <c r="C1" s="650" t="str">
        <f>Startmenue!G2</f>
        <v>Version 1.2</v>
      </c>
      <c r="G1" s="576"/>
      <c r="U1" s="576"/>
      <c r="Y1" s="17"/>
      <c r="Z1" s="595"/>
      <c r="AE1" s="576"/>
      <c r="AJ1" s="576"/>
      <c r="AK1" s="597"/>
    </row>
    <row r="2" spans="2:37" x14ac:dyDescent="0.2">
      <c r="B2" s="963" t="s">
        <v>4368</v>
      </c>
      <c r="C2" s="146"/>
      <c r="D2" s="146" t="s">
        <v>4385</v>
      </c>
      <c r="O2" s="577"/>
      <c r="P2" s="146"/>
      <c r="Q2" s="146"/>
      <c r="R2" s="22"/>
    </row>
    <row r="3" spans="2:37" x14ac:dyDescent="0.2">
      <c r="B3" s="963" t="s">
        <v>4464</v>
      </c>
      <c r="D3" s="20" t="s">
        <v>4579</v>
      </c>
      <c r="O3" s="963"/>
      <c r="P3" s="146"/>
      <c r="Q3" s="146"/>
      <c r="R3" s="146"/>
    </row>
    <row r="4" spans="2:37" ht="15.6" customHeight="1" x14ac:dyDescent="0.2">
      <c r="D4" s="20" t="s">
        <v>4580</v>
      </c>
    </row>
    <row r="5" spans="2:37" x14ac:dyDescent="0.2">
      <c r="D5" s="20" t="s">
        <v>4581</v>
      </c>
    </row>
    <row r="6" spans="2:37" ht="0.75" customHeight="1" x14ac:dyDescent="0.2"/>
    <row r="7" spans="2:37" ht="0.75" customHeight="1" x14ac:dyDescent="0.2"/>
    <row r="8" spans="2:37" ht="0.75" customHeight="1" x14ac:dyDescent="0.2">
      <c r="B8" s="34"/>
      <c r="C8" s="153"/>
      <c r="D8" s="153"/>
      <c r="E8" s="153"/>
      <c r="F8" s="153"/>
      <c r="G8" s="153"/>
      <c r="H8" s="153"/>
      <c r="I8" s="153"/>
      <c r="J8" s="153"/>
      <c r="K8" s="153"/>
      <c r="L8" s="153"/>
      <c r="M8" s="153"/>
      <c r="N8" s="153"/>
      <c r="O8" s="153"/>
      <c r="P8" s="153"/>
      <c r="Q8" s="153"/>
      <c r="R8" s="153"/>
      <c r="S8" s="153"/>
      <c r="T8" s="153"/>
      <c r="U8" s="153"/>
      <c r="V8" s="153"/>
      <c r="W8" s="153"/>
      <c r="X8" s="153"/>
      <c r="Y8" s="153"/>
      <c r="Z8" s="877"/>
    </row>
    <row r="9" spans="2:37" s="1126" customFormat="1" ht="13.7" customHeight="1" x14ac:dyDescent="0.2">
      <c r="B9" s="1122"/>
      <c r="C9" s="1123" t="s">
        <v>4099</v>
      </c>
      <c r="D9" s="1123"/>
      <c r="E9" s="1124"/>
      <c r="F9" s="1124"/>
      <c r="G9" s="1124"/>
      <c r="H9" s="1124"/>
      <c r="I9" s="1124"/>
      <c r="J9" s="1124"/>
      <c r="K9" s="1124"/>
      <c r="L9" s="1124"/>
      <c r="M9" s="1124"/>
      <c r="N9" s="1124"/>
      <c r="O9" s="1124"/>
      <c r="P9" s="1124"/>
      <c r="Q9" s="1124"/>
      <c r="R9" s="1124"/>
      <c r="S9" s="1124"/>
      <c r="T9" s="1124"/>
      <c r="U9" s="1124"/>
      <c r="V9" s="1124"/>
      <c r="W9" s="1124"/>
      <c r="X9" s="1124"/>
      <c r="Y9" s="1124"/>
      <c r="Z9" s="1125"/>
    </row>
    <row r="10" spans="2:37" s="1126" customFormat="1" ht="13.7" customHeight="1" x14ac:dyDescent="0.2">
      <c r="B10" s="1127"/>
      <c r="C10" s="1128"/>
      <c r="D10" s="1128" t="s">
        <v>3305</v>
      </c>
      <c r="Z10" s="1080"/>
    </row>
    <row r="11" spans="2:37" s="32" customFormat="1" ht="13.7" customHeight="1" x14ac:dyDescent="0.2">
      <c r="B11" s="889"/>
      <c r="D11" s="887">
        <v>1</v>
      </c>
      <c r="E11" s="887">
        <v>2</v>
      </c>
      <c r="F11" s="887">
        <v>3</v>
      </c>
      <c r="G11" s="887">
        <v>4</v>
      </c>
      <c r="H11" s="887">
        <v>5</v>
      </c>
      <c r="I11" s="887">
        <v>6</v>
      </c>
      <c r="J11" s="887">
        <v>7</v>
      </c>
      <c r="K11" s="887">
        <v>8</v>
      </c>
      <c r="L11" s="887">
        <v>9</v>
      </c>
      <c r="M11" s="887">
        <v>10</v>
      </c>
      <c r="N11" s="887">
        <v>11</v>
      </c>
      <c r="O11" s="887">
        <v>12</v>
      </c>
      <c r="P11" s="887">
        <v>13</v>
      </c>
      <c r="Q11" s="887">
        <v>14</v>
      </c>
      <c r="R11" s="887">
        <v>15</v>
      </c>
      <c r="S11" s="887">
        <v>16</v>
      </c>
      <c r="T11" s="887">
        <v>17</v>
      </c>
      <c r="U11" s="887">
        <v>18</v>
      </c>
      <c r="V11" s="887">
        <v>19</v>
      </c>
      <c r="W11" s="887">
        <v>20</v>
      </c>
      <c r="X11" s="887">
        <v>21</v>
      </c>
      <c r="Z11" s="892" t="str">
        <f ca="1">AB_Eingabe!I17</f>
        <v>Gemeinde und Gemarkung auswählen!</v>
      </c>
      <c r="AA11" s="32" t="s">
        <v>4094</v>
      </c>
    </row>
    <row r="12" spans="2:37" ht="13.7" customHeight="1" x14ac:dyDescent="0.2">
      <c r="B12" s="889"/>
      <c r="C12" s="32" t="s">
        <v>13</v>
      </c>
      <c r="D12" s="32"/>
      <c r="Z12" s="871"/>
      <c r="AA12" s="147"/>
    </row>
    <row r="13" spans="2:37" ht="13.7" customHeight="1" x14ac:dyDescent="0.2">
      <c r="B13" s="890">
        <v>2</v>
      </c>
      <c r="C13" s="20" t="s">
        <v>3371</v>
      </c>
      <c r="D13" s="20">
        <v>100</v>
      </c>
      <c r="E13" s="20">
        <v>100</v>
      </c>
      <c r="F13" s="20">
        <v>100</v>
      </c>
      <c r="G13" s="20">
        <v>100</v>
      </c>
      <c r="H13" s="20">
        <v>100</v>
      </c>
      <c r="I13" s="20">
        <v>75</v>
      </c>
      <c r="J13" s="20">
        <v>90</v>
      </c>
      <c r="K13" s="20">
        <v>100</v>
      </c>
      <c r="L13" s="20">
        <v>100</v>
      </c>
      <c r="M13" s="20">
        <v>100</v>
      </c>
      <c r="N13" s="20">
        <v>100</v>
      </c>
      <c r="O13" s="20">
        <v>100</v>
      </c>
      <c r="P13" s="20">
        <v>100</v>
      </c>
      <c r="Q13" s="20">
        <v>100</v>
      </c>
      <c r="R13" s="20">
        <v>75</v>
      </c>
      <c r="S13" s="20">
        <v>100</v>
      </c>
      <c r="T13" s="20">
        <v>100</v>
      </c>
      <c r="U13" s="20">
        <v>100</v>
      </c>
      <c r="V13" s="20">
        <v>90</v>
      </c>
      <c r="W13" s="20">
        <v>100</v>
      </c>
      <c r="X13" s="20">
        <v>100</v>
      </c>
      <c r="Z13" s="871"/>
    </row>
    <row r="14" spans="2:37" ht="13.7" customHeight="1" x14ac:dyDescent="0.2">
      <c r="B14" s="890">
        <v>3</v>
      </c>
      <c r="C14" s="20" t="s">
        <v>3372</v>
      </c>
      <c r="D14" s="20">
        <v>95</v>
      </c>
      <c r="E14" s="20">
        <v>95</v>
      </c>
      <c r="F14" s="20">
        <v>90</v>
      </c>
      <c r="G14" s="20">
        <v>95</v>
      </c>
      <c r="H14" s="20">
        <v>95</v>
      </c>
      <c r="I14" s="20">
        <v>75</v>
      </c>
      <c r="J14" s="20">
        <v>85</v>
      </c>
      <c r="K14" s="20">
        <v>95</v>
      </c>
      <c r="L14" s="20">
        <v>95</v>
      </c>
      <c r="M14" s="20">
        <v>95</v>
      </c>
      <c r="N14" s="20">
        <v>95</v>
      </c>
      <c r="O14" s="20">
        <v>95</v>
      </c>
      <c r="P14" s="20">
        <v>95</v>
      </c>
      <c r="Q14" s="20">
        <v>90</v>
      </c>
      <c r="R14" s="20">
        <v>65</v>
      </c>
      <c r="S14" s="20">
        <v>95</v>
      </c>
      <c r="T14" s="20">
        <v>90</v>
      </c>
      <c r="U14" s="20">
        <v>95</v>
      </c>
      <c r="V14" s="20">
        <v>85</v>
      </c>
      <c r="W14" s="20">
        <v>95</v>
      </c>
      <c r="X14" s="20">
        <v>90</v>
      </c>
      <c r="Z14" s="871"/>
    </row>
    <row r="15" spans="2:37" ht="13.7" customHeight="1" x14ac:dyDescent="0.2">
      <c r="B15" s="890">
        <v>4</v>
      </c>
      <c r="C15" s="20" t="s">
        <v>3373</v>
      </c>
      <c r="D15" s="20">
        <v>85</v>
      </c>
      <c r="E15" s="20">
        <v>85</v>
      </c>
      <c r="F15" s="20">
        <v>85</v>
      </c>
      <c r="G15" s="20">
        <v>85</v>
      </c>
      <c r="H15" s="20">
        <v>85</v>
      </c>
      <c r="I15" s="20">
        <v>75</v>
      </c>
      <c r="J15" s="20">
        <v>80</v>
      </c>
      <c r="K15" s="20">
        <v>90</v>
      </c>
      <c r="L15" s="20">
        <v>85</v>
      </c>
      <c r="M15" s="20">
        <v>85</v>
      </c>
      <c r="N15" s="20">
        <v>85</v>
      </c>
      <c r="O15" s="20">
        <v>85</v>
      </c>
      <c r="P15" s="20">
        <v>85</v>
      </c>
      <c r="Q15" s="20">
        <v>85</v>
      </c>
      <c r="R15" s="20">
        <v>65</v>
      </c>
      <c r="S15" s="20">
        <v>85</v>
      </c>
      <c r="T15" s="20">
        <v>85</v>
      </c>
      <c r="U15" s="20">
        <v>85</v>
      </c>
      <c r="V15" s="20">
        <v>80</v>
      </c>
      <c r="W15" s="20">
        <v>85</v>
      </c>
      <c r="X15" s="20">
        <v>85</v>
      </c>
      <c r="Z15" s="871"/>
    </row>
    <row r="16" spans="2:37" ht="13.7" customHeight="1" x14ac:dyDescent="0.2">
      <c r="B16" s="890">
        <v>35</v>
      </c>
      <c r="C16" s="20" t="s">
        <v>4098</v>
      </c>
      <c r="D16" s="20">
        <v>120</v>
      </c>
      <c r="E16" s="20">
        <v>120</v>
      </c>
      <c r="F16" s="20">
        <v>120</v>
      </c>
      <c r="G16" s="20">
        <v>120</v>
      </c>
      <c r="H16" s="20">
        <v>120</v>
      </c>
      <c r="I16" s="20">
        <v>110</v>
      </c>
      <c r="J16" s="20">
        <v>110</v>
      </c>
      <c r="K16" s="20">
        <v>120</v>
      </c>
      <c r="L16" s="20">
        <v>120</v>
      </c>
      <c r="M16" s="20">
        <v>120</v>
      </c>
      <c r="N16" s="20">
        <v>120</v>
      </c>
      <c r="O16" s="20">
        <v>120</v>
      </c>
      <c r="P16" s="20">
        <v>120</v>
      </c>
      <c r="Q16" s="20">
        <v>120</v>
      </c>
      <c r="R16" s="20">
        <v>110</v>
      </c>
      <c r="S16" s="20">
        <v>120</v>
      </c>
      <c r="T16" s="20">
        <v>120</v>
      </c>
      <c r="U16" s="20">
        <v>120</v>
      </c>
      <c r="V16" s="20">
        <v>110</v>
      </c>
      <c r="W16" s="20">
        <v>120</v>
      </c>
      <c r="X16" s="20">
        <v>120</v>
      </c>
      <c r="Z16" s="871"/>
    </row>
    <row r="17" spans="2:27" ht="13.7" customHeight="1" x14ac:dyDescent="0.2">
      <c r="B17" s="890">
        <v>36</v>
      </c>
      <c r="C17" s="20" t="s">
        <v>3598</v>
      </c>
      <c r="D17" s="20">
        <v>130</v>
      </c>
      <c r="E17" s="20">
        <v>130</v>
      </c>
      <c r="F17" s="20">
        <v>130</v>
      </c>
      <c r="G17" s="20">
        <v>130</v>
      </c>
      <c r="H17" s="20">
        <v>130</v>
      </c>
      <c r="I17" s="20">
        <v>120</v>
      </c>
      <c r="J17" s="20">
        <v>120</v>
      </c>
      <c r="K17" s="20">
        <v>130</v>
      </c>
      <c r="L17" s="20">
        <v>130</v>
      </c>
      <c r="M17" s="20">
        <v>130</v>
      </c>
      <c r="N17" s="20">
        <v>130</v>
      </c>
      <c r="O17" s="20">
        <v>130</v>
      </c>
      <c r="P17" s="20">
        <v>130</v>
      </c>
      <c r="Q17" s="20">
        <v>130</v>
      </c>
      <c r="R17" s="20">
        <v>120</v>
      </c>
      <c r="S17" s="20">
        <v>130</v>
      </c>
      <c r="T17" s="20">
        <v>130</v>
      </c>
      <c r="U17" s="20">
        <v>130</v>
      </c>
      <c r="V17" s="20">
        <v>120</v>
      </c>
      <c r="W17" s="20">
        <v>130</v>
      </c>
      <c r="X17" s="20">
        <v>130</v>
      </c>
      <c r="Z17" s="871"/>
    </row>
    <row r="18" spans="2:27" ht="13.7" customHeight="1" x14ac:dyDescent="0.2">
      <c r="B18" s="890">
        <v>52</v>
      </c>
      <c r="C18" s="20" t="s">
        <v>3408</v>
      </c>
      <c r="D18" s="20">
        <v>120</v>
      </c>
      <c r="E18" s="20">
        <v>120</v>
      </c>
      <c r="F18" s="20">
        <v>120</v>
      </c>
      <c r="G18" s="20">
        <v>120</v>
      </c>
      <c r="H18" s="20">
        <v>120</v>
      </c>
      <c r="I18" s="20">
        <v>110</v>
      </c>
      <c r="J18" s="20">
        <v>110</v>
      </c>
      <c r="K18" s="20">
        <v>120</v>
      </c>
      <c r="L18" s="20">
        <v>120</v>
      </c>
      <c r="M18" s="20">
        <v>120</v>
      </c>
      <c r="N18" s="20">
        <v>120</v>
      </c>
      <c r="O18" s="20">
        <v>120</v>
      </c>
      <c r="P18" s="20">
        <v>120</v>
      </c>
      <c r="Q18" s="20">
        <v>120</v>
      </c>
      <c r="R18" s="20">
        <v>110</v>
      </c>
      <c r="S18" s="20">
        <v>120</v>
      </c>
      <c r="T18" s="20">
        <v>120</v>
      </c>
      <c r="U18" s="20">
        <v>120</v>
      </c>
      <c r="V18" s="20">
        <v>110</v>
      </c>
      <c r="W18" s="20">
        <v>120</v>
      </c>
      <c r="X18" s="20">
        <v>120</v>
      </c>
      <c r="Z18" s="871"/>
    </row>
    <row r="19" spans="2:27" ht="13.7" customHeight="1" x14ac:dyDescent="0.2">
      <c r="B19" s="890">
        <v>20</v>
      </c>
      <c r="C19" s="20" t="s">
        <v>3387</v>
      </c>
      <c r="D19" s="20">
        <v>45</v>
      </c>
      <c r="E19" s="20">
        <v>45</v>
      </c>
      <c r="F19" s="20">
        <v>45</v>
      </c>
      <c r="G19" s="20">
        <v>50</v>
      </c>
      <c r="H19" s="20">
        <v>45</v>
      </c>
      <c r="I19" s="20">
        <v>45</v>
      </c>
      <c r="J19" s="20">
        <v>45</v>
      </c>
      <c r="K19" s="20">
        <v>50</v>
      </c>
      <c r="L19" s="20">
        <v>45</v>
      </c>
      <c r="M19" s="20">
        <v>45</v>
      </c>
      <c r="N19" s="20">
        <v>50</v>
      </c>
      <c r="O19" s="20">
        <v>45</v>
      </c>
      <c r="P19" s="20">
        <v>50</v>
      </c>
      <c r="Q19" s="20">
        <v>45</v>
      </c>
      <c r="R19" s="20">
        <v>45</v>
      </c>
      <c r="S19" s="20">
        <v>45</v>
      </c>
      <c r="T19" s="20">
        <v>50</v>
      </c>
      <c r="U19" s="20">
        <v>45</v>
      </c>
      <c r="V19" s="20">
        <v>45</v>
      </c>
      <c r="W19" s="20">
        <v>50</v>
      </c>
      <c r="X19" s="20">
        <v>45</v>
      </c>
      <c r="Z19" s="871"/>
    </row>
    <row r="20" spans="2:27" ht="13.7" customHeight="1" x14ac:dyDescent="0.2">
      <c r="B20" s="1132"/>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873"/>
    </row>
    <row r="21" spans="2:27" ht="13.7" customHeight="1" thickBot="1" x14ac:dyDescent="0.25">
      <c r="B21" s="1133">
        <f>COUNTIF($B$13:$B$19,$B$24)</f>
        <v>0</v>
      </c>
      <c r="C21" s="891" t="s">
        <v>4093</v>
      </c>
      <c r="D21" s="891"/>
      <c r="E21" s="891"/>
      <c r="F21" s="891"/>
      <c r="G21" s="891"/>
      <c r="H21" s="891"/>
      <c r="I21" s="891"/>
      <c r="J21" s="891"/>
      <c r="K21" s="891"/>
      <c r="L21" s="891"/>
      <c r="M21" s="891"/>
      <c r="N21" s="891"/>
      <c r="O21" s="891"/>
      <c r="P21" s="891"/>
      <c r="Q21" s="891"/>
      <c r="R21" s="891"/>
      <c r="S21" s="891"/>
      <c r="T21" s="891"/>
      <c r="U21" s="891"/>
      <c r="V21" s="888"/>
      <c r="W21" s="888"/>
      <c r="X21" s="888"/>
      <c r="Y21" s="888"/>
      <c r="Z21" s="874"/>
    </row>
    <row r="22" spans="2:27" ht="13.7" customHeight="1" x14ac:dyDescent="0.2">
      <c r="B22" s="889"/>
      <c r="Z22" s="871"/>
    </row>
    <row r="23" spans="2:27" ht="13.7" customHeight="1" x14ac:dyDescent="0.2">
      <c r="B23" s="889"/>
      <c r="C23" s="32" t="s">
        <v>4092</v>
      </c>
      <c r="D23" s="1131"/>
      <c r="E23" s="32"/>
      <c r="F23" s="153"/>
      <c r="Z23" s="871"/>
    </row>
    <row r="24" spans="2:27" ht="13.7" customHeight="1" x14ac:dyDescent="0.2">
      <c r="B24" s="1134">
        <f>Kulturen!$H$227</f>
        <v>1</v>
      </c>
      <c r="C24" s="32" t="s">
        <v>4102</v>
      </c>
      <c r="D24" s="32"/>
      <c r="E24" s="32"/>
      <c r="K24" s="4"/>
      <c r="L24" s="4"/>
      <c r="M24" s="4"/>
      <c r="N24" s="4"/>
      <c r="O24" s="4"/>
      <c r="P24" s="4"/>
      <c r="Q24" s="4"/>
      <c r="R24" s="4"/>
      <c r="S24" s="4"/>
      <c r="T24" s="4"/>
      <c r="U24" s="4"/>
      <c r="V24" s="4"/>
      <c r="W24" s="4"/>
      <c r="X24" s="4"/>
      <c r="Y24" s="4"/>
      <c r="Z24" s="893"/>
      <c r="AA24"/>
    </row>
    <row r="25" spans="2:27" ht="13.7" customHeight="1" x14ac:dyDescent="0.2">
      <c r="B25" s="889"/>
      <c r="C25" s="32" t="s">
        <v>3779</v>
      </c>
      <c r="D25" s="1131" t="str">
        <f>Kulturen!$H$229</f>
        <v>auswählen !</v>
      </c>
      <c r="E25" s="32"/>
      <c r="F25" s="154"/>
      <c r="Z25" s="871"/>
    </row>
    <row r="26" spans="2:27" ht="13.7" customHeight="1" x14ac:dyDescent="0.2">
      <c r="B26" s="889"/>
      <c r="C26" s="32"/>
      <c r="D26" s="1131"/>
      <c r="E26" s="32"/>
      <c r="Z26" s="871"/>
    </row>
    <row r="27" spans="2:27" ht="13.7" customHeight="1" x14ac:dyDescent="0.2">
      <c r="B27" s="889"/>
      <c r="C27" s="32"/>
      <c r="D27" s="32"/>
      <c r="E27" s="32"/>
      <c r="Z27" s="871"/>
    </row>
    <row r="28" spans="2:27" ht="13.7" customHeight="1" x14ac:dyDescent="0.2">
      <c r="B28" s="889"/>
      <c r="C28" s="32"/>
      <c r="D28" s="32"/>
      <c r="E28" s="32"/>
      <c r="Z28" s="871"/>
    </row>
    <row r="29" spans="2:27" ht="13.7" customHeight="1" x14ac:dyDescent="0.2">
      <c r="B29" s="889"/>
      <c r="C29" s="32" t="s">
        <v>4303</v>
      </c>
      <c r="D29" s="32">
        <f>IFERROR(IF($B$21=1,INDEX($D$13:$X$19,MATCH($B$24,$B$13:$B$19,FALSE),MATCH($Z$11,$D$11:$X$11,FALSE)),$D$30),"")</f>
        <v>0</v>
      </c>
      <c r="E29" s="32" t="s">
        <v>3490</v>
      </c>
      <c r="Z29" s="871"/>
    </row>
    <row r="30" spans="2:27" ht="13.7" customHeight="1" x14ac:dyDescent="0.2">
      <c r="B30" s="889"/>
      <c r="C30" s="32" t="s">
        <v>4095</v>
      </c>
      <c r="D30" s="32">
        <f>VLOOKUP($B$24,Kulturen!$E$12:$AM$77,Kulturen!$AC$8,FALSE)</f>
        <v>0</v>
      </c>
      <c r="E30" s="32" t="s">
        <v>3490</v>
      </c>
      <c r="Z30" s="871"/>
    </row>
    <row r="31" spans="2:27" ht="13.7" customHeight="1" x14ac:dyDescent="0.2">
      <c r="B31" s="889"/>
      <c r="C31" s="32" t="s">
        <v>4100</v>
      </c>
      <c r="D31" s="32">
        <f>VLOOKUP($B$24,Kulturen!$E$12:$AM$77,Kulturen!$AB$8,FALSE)</f>
        <v>0</v>
      </c>
      <c r="E31" s="32" t="s">
        <v>3490</v>
      </c>
      <c r="Z31" s="871"/>
    </row>
    <row r="32" spans="2:27" ht="13.7" customHeight="1" x14ac:dyDescent="0.2">
      <c r="B32" s="889"/>
      <c r="C32" s="32"/>
      <c r="D32" s="32"/>
      <c r="E32" s="32"/>
      <c r="Z32" s="871"/>
    </row>
    <row r="33" spans="2:26" ht="13.7" customHeight="1" x14ac:dyDescent="0.2">
      <c r="B33" s="889"/>
      <c r="C33" s="32" t="s">
        <v>4096</v>
      </c>
      <c r="D33" s="1030">
        <f>Kulturen!$H$234</f>
        <v>0</v>
      </c>
      <c r="E33" s="32" t="s">
        <v>3490</v>
      </c>
      <c r="G33" s="20" t="s">
        <v>4284</v>
      </c>
      <c r="Z33" s="871"/>
    </row>
    <row r="34" spans="2:26" ht="13.7" customHeight="1" x14ac:dyDescent="0.2">
      <c r="B34" s="889"/>
      <c r="C34" s="32"/>
      <c r="D34" s="32"/>
      <c r="E34" s="32"/>
      <c r="Z34" s="871"/>
    </row>
    <row r="35" spans="2:26" ht="13.7" customHeight="1" x14ac:dyDescent="0.2">
      <c r="B35" s="889"/>
      <c r="C35" s="32" t="s">
        <v>4103</v>
      </c>
      <c r="D35" s="1030">
        <f>IF(D33&gt;D29,D29,IF(D33&lt;D31,D31,D33))</f>
        <v>0</v>
      </c>
      <c r="E35" s="32" t="s">
        <v>3490</v>
      </c>
      <c r="Z35" s="871"/>
    </row>
    <row r="36" spans="2:26" ht="13.7" customHeight="1" x14ac:dyDescent="0.25">
      <c r="B36" s="889"/>
      <c r="C36" s="192"/>
      <c r="Z36" s="871"/>
    </row>
    <row r="37" spans="2:26" ht="13.7" customHeight="1" x14ac:dyDescent="0.2">
      <c r="B37" s="889"/>
      <c r="Z37" s="871"/>
    </row>
    <row r="38" spans="2:26" ht="13.7" customHeight="1" x14ac:dyDescent="0.2">
      <c r="B38" s="889"/>
      <c r="Z38" s="871"/>
    </row>
    <row r="39" spans="2:26" ht="13.7" customHeight="1" x14ac:dyDescent="0.2">
      <c r="B39" s="889"/>
      <c r="Z39" s="871"/>
    </row>
    <row r="40" spans="2:26" ht="13.7" customHeight="1" x14ac:dyDescent="0.2">
      <c r="B40" s="1135"/>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873"/>
    </row>
    <row r="41" spans="2:26" s="1128" customFormat="1" ht="13.7" customHeight="1" x14ac:dyDescent="0.2">
      <c r="B41" s="1122"/>
      <c r="C41" s="1123" t="s">
        <v>3447</v>
      </c>
      <c r="D41" s="1123"/>
      <c r="E41" s="1123"/>
      <c r="F41" s="1123"/>
      <c r="G41" s="1123"/>
      <c r="H41" s="1123"/>
      <c r="I41" s="1123"/>
      <c r="J41" s="1123"/>
      <c r="K41" s="1123"/>
      <c r="L41" s="1123"/>
      <c r="M41" s="1123"/>
      <c r="N41" s="1123"/>
      <c r="O41" s="1123"/>
      <c r="P41" s="1123"/>
      <c r="Q41" s="1123"/>
      <c r="R41" s="1123"/>
      <c r="S41" s="1123"/>
      <c r="T41" s="1123"/>
      <c r="U41" s="1123"/>
      <c r="V41" s="1123"/>
      <c r="W41" s="1123"/>
      <c r="X41" s="1123"/>
      <c r="Y41" s="1123"/>
      <c r="Z41" s="1129"/>
    </row>
    <row r="42" spans="2:26" s="1128" customFormat="1" ht="13.7" customHeight="1" x14ac:dyDescent="0.2">
      <c r="B42" s="1127"/>
      <c r="D42" s="1128" t="s">
        <v>3305</v>
      </c>
      <c r="Z42" s="1130"/>
    </row>
    <row r="43" spans="2:26" ht="13.7" customHeight="1" x14ac:dyDescent="0.2">
      <c r="B43" s="889"/>
      <c r="D43" s="887">
        <v>1</v>
      </c>
      <c r="E43" s="887">
        <v>2</v>
      </c>
      <c r="F43" s="887">
        <v>3</v>
      </c>
      <c r="G43" s="887">
        <v>4</v>
      </c>
      <c r="H43" s="887">
        <v>5</v>
      </c>
      <c r="I43" s="887">
        <v>6</v>
      </c>
      <c r="J43" s="887">
        <v>7</v>
      </c>
      <c r="K43" s="887">
        <v>8</v>
      </c>
      <c r="L43" s="887">
        <v>9</v>
      </c>
      <c r="M43" s="887">
        <v>10</v>
      </c>
      <c r="N43" s="887">
        <v>11</v>
      </c>
      <c r="O43" s="887">
        <v>12</v>
      </c>
      <c r="P43" s="887">
        <v>13</v>
      </c>
      <c r="Q43" s="887">
        <v>14</v>
      </c>
      <c r="R43" s="887">
        <v>15</v>
      </c>
      <c r="S43" s="887">
        <v>16</v>
      </c>
      <c r="T43" s="887">
        <v>17</v>
      </c>
      <c r="U43" s="887">
        <v>18</v>
      </c>
      <c r="V43" s="887">
        <v>19</v>
      </c>
      <c r="W43" s="887">
        <v>20</v>
      </c>
      <c r="X43" s="887">
        <v>21</v>
      </c>
      <c r="Z43" s="871"/>
    </row>
    <row r="44" spans="2:26" ht="13.7" customHeight="1" x14ac:dyDescent="0.2">
      <c r="B44" s="889"/>
      <c r="C44" s="32" t="s">
        <v>12</v>
      </c>
      <c r="Z44" s="871"/>
    </row>
    <row r="45" spans="2:26" ht="13.7" customHeight="1" x14ac:dyDescent="0.2">
      <c r="B45" s="890">
        <v>2</v>
      </c>
      <c r="C45" s="20" t="s">
        <v>3371</v>
      </c>
      <c r="D45" s="20">
        <v>200</v>
      </c>
      <c r="E45" s="20">
        <v>200</v>
      </c>
      <c r="F45" s="20">
        <v>200</v>
      </c>
      <c r="G45" s="20">
        <v>200</v>
      </c>
      <c r="H45" s="20">
        <v>200</v>
      </c>
      <c r="I45" s="20">
        <v>200</v>
      </c>
      <c r="J45" s="20">
        <v>200</v>
      </c>
      <c r="K45" s="20">
        <v>200</v>
      </c>
      <c r="L45" s="20">
        <v>200</v>
      </c>
      <c r="M45" s="20">
        <v>200</v>
      </c>
      <c r="N45" s="20">
        <v>200</v>
      </c>
      <c r="O45" s="20">
        <v>200</v>
      </c>
      <c r="P45" s="20">
        <v>200</v>
      </c>
      <c r="Q45" s="20">
        <v>200</v>
      </c>
      <c r="R45" s="20">
        <v>200</v>
      </c>
      <c r="S45" s="20">
        <v>200</v>
      </c>
      <c r="T45" s="20">
        <v>200</v>
      </c>
      <c r="U45" s="20">
        <v>200</v>
      </c>
      <c r="V45" s="20">
        <v>200</v>
      </c>
      <c r="W45" s="20">
        <v>200</v>
      </c>
      <c r="X45" s="20">
        <v>200</v>
      </c>
      <c r="Z45" s="871"/>
    </row>
    <row r="46" spans="2:26" ht="13.7" customHeight="1" x14ac:dyDescent="0.2">
      <c r="B46" s="890">
        <v>3</v>
      </c>
      <c r="C46" s="20" t="s">
        <v>3372</v>
      </c>
      <c r="D46" s="20">
        <v>200</v>
      </c>
      <c r="E46" s="20">
        <v>200</v>
      </c>
      <c r="F46" s="20">
        <v>200</v>
      </c>
      <c r="G46" s="20">
        <v>200</v>
      </c>
      <c r="H46" s="20">
        <v>200</v>
      </c>
      <c r="I46" s="20">
        <v>200</v>
      </c>
      <c r="J46" s="20">
        <v>200</v>
      </c>
      <c r="K46" s="20">
        <v>200</v>
      </c>
      <c r="L46" s="20">
        <v>200</v>
      </c>
      <c r="M46" s="20">
        <v>200</v>
      </c>
      <c r="N46" s="20">
        <v>200</v>
      </c>
      <c r="O46" s="20">
        <v>200</v>
      </c>
      <c r="P46" s="20">
        <v>200</v>
      </c>
      <c r="Q46" s="20">
        <v>200</v>
      </c>
      <c r="R46" s="20">
        <v>200</v>
      </c>
      <c r="S46" s="20">
        <v>200</v>
      </c>
      <c r="T46" s="20">
        <v>200</v>
      </c>
      <c r="U46" s="20">
        <v>200</v>
      </c>
      <c r="V46" s="20">
        <v>200</v>
      </c>
      <c r="W46" s="20">
        <v>200</v>
      </c>
      <c r="X46" s="20">
        <v>200</v>
      </c>
      <c r="Z46" s="871"/>
    </row>
    <row r="47" spans="2:26" ht="13.7" customHeight="1" x14ac:dyDescent="0.2">
      <c r="B47" s="890">
        <v>4</v>
      </c>
      <c r="C47" s="20" t="s">
        <v>3373</v>
      </c>
      <c r="D47" s="20">
        <v>200</v>
      </c>
      <c r="E47" s="20">
        <v>200</v>
      </c>
      <c r="F47" s="20">
        <v>200</v>
      </c>
      <c r="G47" s="20">
        <v>200</v>
      </c>
      <c r="H47" s="20">
        <v>200</v>
      </c>
      <c r="I47" s="20">
        <v>200</v>
      </c>
      <c r="J47" s="20">
        <v>200</v>
      </c>
      <c r="K47" s="20">
        <v>200</v>
      </c>
      <c r="L47" s="20">
        <v>200</v>
      </c>
      <c r="M47" s="20">
        <v>200</v>
      </c>
      <c r="N47" s="20">
        <v>200</v>
      </c>
      <c r="O47" s="20">
        <v>200</v>
      </c>
      <c r="P47" s="20">
        <v>200</v>
      </c>
      <c r="Q47" s="20">
        <v>200</v>
      </c>
      <c r="R47" s="20">
        <v>200</v>
      </c>
      <c r="S47" s="20">
        <v>200</v>
      </c>
      <c r="T47" s="20">
        <v>200</v>
      </c>
      <c r="U47" s="20">
        <v>200</v>
      </c>
      <c r="V47" s="20">
        <v>200</v>
      </c>
      <c r="W47" s="20">
        <v>200</v>
      </c>
      <c r="X47" s="20">
        <v>200</v>
      </c>
      <c r="Z47" s="871"/>
    </row>
    <row r="48" spans="2:26" ht="13.7" customHeight="1" x14ac:dyDescent="0.2">
      <c r="B48" s="890">
        <v>35</v>
      </c>
      <c r="C48" s="20" t="s">
        <v>3597</v>
      </c>
      <c r="D48" s="20">
        <v>180</v>
      </c>
      <c r="E48" s="20">
        <v>180</v>
      </c>
      <c r="F48" s="20">
        <v>180</v>
      </c>
      <c r="G48" s="20">
        <v>180</v>
      </c>
      <c r="H48" s="20">
        <v>180</v>
      </c>
      <c r="I48" s="20">
        <v>180</v>
      </c>
      <c r="J48" s="20">
        <v>180</v>
      </c>
      <c r="K48" s="20">
        <v>180</v>
      </c>
      <c r="L48" s="20">
        <v>180</v>
      </c>
      <c r="M48" s="20">
        <v>180</v>
      </c>
      <c r="N48" s="20">
        <v>180</v>
      </c>
      <c r="O48" s="20">
        <v>180</v>
      </c>
      <c r="P48" s="20">
        <v>180</v>
      </c>
      <c r="Q48" s="20">
        <v>180</v>
      </c>
      <c r="R48" s="20">
        <v>180</v>
      </c>
      <c r="S48" s="20">
        <v>180</v>
      </c>
      <c r="T48" s="20">
        <v>180</v>
      </c>
      <c r="U48" s="20">
        <v>180</v>
      </c>
      <c r="V48" s="20">
        <v>180</v>
      </c>
      <c r="W48" s="20">
        <v>180</v>
      </c>
      <c r="X48" s="20">
        <v>180</v>
      </c>
      <c r="Z48" s="871"/>
    </row>
    <row r="49" spans="2:26" ht="13.7" customHeight="1" x14ac:dyDescent="0.2">
      <c r="B49" s="890">
        <v>36</v>
      </c>
      <c r="C49" s="20" t="s">
        <v>3598</v>
      </c>
      <c r="D49" s="20">
        <v>200</v>
      </c>
      <c r="E49" s="20">
        <v>200</v>
      </c>
      <c r="F49" s="20">
        <v>200</v>
      </c>
      <c r="G49" s="20">
        <v>200</v>
      </c>
      <c r="H49" s="20">
        <v>200</v>
      </c>
      <c r="I49" s="20">
        <v>200</v>
      </c>
      <c r="J49" s="20">
        <v>200</v>
      </c>
      <c r="K49" s="20">
        <v>200</v>
      </c>
      <c r="L49" s="20">
        <v>200</v>
      </c>
      <c r="M49" s="20">
        <v>200</v>
      </c>
      <c r="N49" s="20">
        <v>200</v>
      </c>
      <c r="O49" s="20">
        <v>200</v>
      </c>
      <c r="P49" s="20">
        <v>200</v>
      </c>
      <c r="Q49" s="20">
        <v>200</v>
      </c>
      <c r="R49" s="20">
        <v>200</v>
      </c>
      <c r="S49" s="20">
        <v>200</v>
      </c>
      <c r="T49" s="20">
        <v>200</v>
      </c>
      <c r="U49" s="20">
        <v>200</v>
      </c>
      <c r="V49" s="20">
        <v>200</v>
      </c>
      <c r="W49" s="20">
        <v>200</v>
      </c>
      <c r="X49" s="20">
        <v>200</v>
      </c>
      <c r="Z49" s="871"/>
    </row>
    <row r="50" spans="2:26" ht="13.7" customHeight="1" x14ac:dyDescent="0.2">
      <c r="B50" s="890">
        <v>49</v>
      </c>
      <c r="C50" s="20" t="s">
        <v>3408</v>
      </c>
      <c r="D50" s="20">
        <v>180</v>
      </c>
      <c r="E50" s="20">
        <v>180</v>
      </c>
      <c r="F50" s="20">
        <v>180</v>
      </c>
      <c r="G50" s="20">
        <v>180</v>
      </c>
      <c r="H50" s="20">
        <v>180</v>
      </c>
      <c r="I50" s="20">
        <v>180</v>
      </c>
      <c r="J50" s="20">
        <v>180</v>
      </c>
      <c r="K50" s="20">
        <v>180</v>
      </c>
      <c r="L50" s="20">
        <v>180</v>
      </c>
      <c r="M50" s="20">
        <v>180</v>
      </c>
      <c r="N50" s="20">
        <v>180</v>
      </c>
      <c r="O50" s="20">
        <v>180</v>
      </c>
      <c r="P50" s="20">
        <v>180</v>
      </c>
      <c r="Q50" s="20">
        <v>180</v>
      </c>
      <c r="R50" s="20">
        <v>180</v>
      </c>
      <c r="S50" s="20">
        <v>180</v>
      </c>
      <c r="T50" s="20">
        <v>180</v>
      </c>
      <c r="U50" s="20">
        <v>180</v>
      </c>
      <c r="V50" s="20">
        <v>180</v>
      </c>
      <c r="W50" s="20">
        <v>180</v>
      </c>
      <c r="X50" s="20">
        <v>180</v>
      </c>
      <c r="Z50" s="871"/>
    </row>
    <row r="51" spans="2:26" ht="13.7" customHeight="1" x14ac:dyDescent="0.2">
      <c r="B51" s="890">
        <v>20</v>
      </c>
      <c r="C51" s="20" t="s">
        <v>3387</v>
      </c>
      <c r="D51" s="20">
        <v>170</v>
      </c>
      <c r="E51" s="20">
        <v>170</v>
      </c>
      <c r="F51" s="20">
        <v>170</v>
      </c>
      <c r="G51" s="20">
        <v>190</v>
      </c>
      <c r="H51" s="20">
        <v>170</v>
      </c>
      <c r="I51" s="20">
        <v>170</v>
      </c>
      <c r="J51" s="20">
        <v>170</v>
      </c>
      <c r="K51" s="20">
        <v>190</v>
      </c>
      <c r="L51" s="20">
        <v>170</v>
      </c>
      <c r="M51" s="20">
        <v>170</v>
      </c>
      <c r="N51" s="20">
        <v>190</v>
      </c>
      <c r="O51" s="20">
        <v>170</v>
      </c>
      <c r="P51" s="20">
        <v>190</v>
      </c>
      <c r="Q51" s="20">
        <v>170</v>
      </c>
      <c r="R51" s="20">
        <v>170</v>
      </c>
      <c r="S51" s="20">
        <v>170</v>
      </c>
      <c r="T51" s="20">
        <v>190</v>
      </c>
      <c r="U51" s="20">
        <v>170</v>
      </c>
      <c r="V51" s="20">
        <v>170</v>
      </c>
      <c r="W51" s="20">
        <v>190</v>
      </c>
      <c r="X51" s="20">
        <v>170</v>
      </c>
      <c r="Z51" s="871"/>
    </row>
    <row r="52" spans="2:26" ht="13.7" customHeight="1" x14ac:dyDescent="0.2">
      <c r="B52" s="889"/>
      <c r="Z52" s="871"/>
    </row>
    <row r="53" spans="2:26" ht="13.7" customHeight="1" x14ac:dyDescent="0.2">
      <c r="B53" s="1135"/>
      <c r="C53" s="153"/>
      <c r="D53" s="153"/>
      <c r="E53" s="153"/>
      <c r="F53" s="153"/>
      <c r="G53" s="153"/>
      <c r="H53" s="153"/>
      <c r="I53" s="153"/>
      <c r="J53" s="153"/>
      <c r="K53" s="153"/>
      <c r="L53" s="153"/>
      <c r="M53" s="153"/>
      <c r="N53" s="153"/>
      <c r="O53" s="153"/>
      <c r="P53" s="153"/>
      <c r="Q53" s="153"/>
      <c r="R53" s="153"/>
      <c r="S53" s="153"/>
      <c r="T53" s="153"/>
      <c r="U53" s="153"/>
      <c r="V53" s="153"/>
      <c r="W53" s="153"/>
      <c r="X53" s="153"/>
      <c r="Y53" s="153"/>
      <c r="Z53" s="873"/>
    </row>
    <row r="54" spans="2:26" ht="13.7" customHeight="1" x14ac:dyDescent="0.2">
      <c r="B54" s="1120"/>
      <c r="C54" s="1121" t="s">
        <v>4101</v>
      </c>
      <c r="D54" s="1121">
        <f>VLOOKUP($B$24,Kulturen!$E$12:$AM$77,Kulturen!$AE$8,FALSE)</f>
        <v>0</v>
      </c>
      <c r="E54" s="1121" t="s">
        <v>3703</v>
      </c>
      <c r="F54" s="1121"/>
      <c r="G54" s="1121"/>
      <c r="H54" s="1121"/>
      <c r="I54" s="1121"/>
      <c r="J54" s="1121"/>
      <c r="K54" s="1121"/>
      <c r="L54" s="1121"/>
      <c r="M54" s="1121"/>
      <c r="N54" s="1121"/>
      <c r="O54" s="1121"/>
      <c r="P54" s="1121"/>
      <c r="Q54" s="1121"/>
      <c r="R54" s="1121"/>
      <c r="S54" s="1121"/>
      <c r="T54" s="1121"/>
      <c r="U54" s="1121"/>
      <c r="V54" s="1121"/>
      <c r="W54" s="1121"/>
      <c r="X54" s="1121"/>
      <c r="Y54" s="1121"/>
      <c r="Z54" s="1137"/>
    </row>
    <row r="55" spans="2:26" ht="13.7" customHeight="1" x14ac:dyDescent="0.2">
      <c r="B55" s="889"/>
      <c r="C55" s="32" t="s">
        <v>4112</v>
      </c>
      <c r="D55" s="32">
        <f>IF($B$21=1,INDEX($D$45:$X$51,MATCH($B$24,$B$45:$B$51,FALSE),MATCH($Z$11,$D$43:$X$43,FALSE)),$D$54)</f>
        <v>0</v>
      </c>
      <c r="E55" s="32" t="s">
        <v>3703</v>
      </c>
      <c r="F55" s="32"/>
      <c r="G55" s="32"/>
      <c r="H55" s="32"/>
      <c r="I55" s="32"/>
      <c r="J55" s="32"/>
      <c r="K55" s="32"/>
      <c r="L55" s="32"/>
      <c r="M55" s="32"/>
      <c r="N55" s="32"/>
      <c r="O55" s="32"/>
      <c r="P55" s="32"/>
      <c r="Q55" s="32"/>
      <c r="R55" s="32"/>
      <c r="S55" s="32"/>
      <c r="T55" s="32"/>
      <c r="U55" s="32"/>
      <c r="V55" s="32"/>
      <c r="W55" s="32"/>
      <c r="X55" s="32"/>
      <c r="Y55" s="32"/>
      <c r="Z55" s="1138"/>
    </row>
    <row r="56" spans="2:26" ht="13.7" customHeight="1" x14ac:dyDescent="0.2">
      <c r="B56" s="889"/>
      <c r="C56" s="32"/>
      <c r="D56" s="32"/>
      <c r="E56" s="32"/>
      <c r="F56" s="32"/>
      <c r="G56" s="32"/>
      <c r="H56" s="34"/>
      <c r="I56" s="34"/>
      <c r="J56" s="34"/>
      <c r="K56" s="34"/>
      <c r="L56" s="34"/>
      <c r="M56" s="34"/>
      <c r="N56" s="34"/>
      <c r="O56" s="34"/>
      <c r="P56" s="34"/>
      <c r="Q56" s="34"/>
      <c r="R56" s="34"/>
      <c r="S56" s="34"/>
      <c r="T56" s="34"/>
      <c r="U56" s="34"/>
      <c r="V56" s="34"/>
      <c r="W56" s="34"/>
      <c r="X56" s="34"/>
      <c r="Y56" s="34"/>
      <c r="Z56" s="1138"/>
    </row>
    <row r="57" spans="2:26" ht="13.7" customHeight="1" x14ac:dyDescent="0.2">
      <c r="B57" s="889"/>
      <c r="C57" s="32"/>
      <c r="D57" s="32"/>
      <c r="E57" s="32"/>
      <c r="F57" s="32"/>
      <c r="G57" s="32"/>
      <c r="H57" s="33"/>
      <c r="I57" s="33"/>
      <c r="J57" s="33"/>
      <c r="K57" s="33"/>
      <c r="L57" s="33"/>
      <c r="M57" s="33"/>
      <c r="N57" s="33"/>
      <c r="O57" s="33"/>
      <c r="P57" s="33"/>
      <c r="Q57" s="33"/>
      <c r="R57" s="33"/>
      <c r="S57" s="33"/>
      <c r="T57" s="33"/>
      <c r="U57" s="33"/>
      <c r="V57" s="33"/>
      <c r="W57" s="33"/>
      <c r="X57" s="33"/>
      <c r="Y57" s="33"/>
      <c r="Z57" s="1139"/>
    </row>
    <row r="58" spans="2:26" ht="13.7" customHeight="1" x14ac:dyDescent="0.2">
      <c r="B58" s="889"/>
      <c r="C58" s="1140" t="s">
        <v>4132</v>
      </c>
      <c r="D58" s="1140">
        <f>IF(X59&gt;5,0,VLOOKUP($B$24,Kulturen!$E$12:$AM$77,Kulturen!$AF$8,FALSE))</f>
        <v>0</v>
      </c>
      <c r="E58" s="1140" t="s">
        <v>3703</v>
      </c>
      <c r="F58" s="32"/>
      <c r="G58" s="32"/>
      <c r="H58" s="1141"/>
      <c r="I58" s="1142" t="s">
        <v>4341</v>
      </c>
      <c r="J58" s="1142"/>
      <c r="K58" s="1142"/>
      <c r="L58" s="1142"/>
      <c r="M58" s="1142"/>
      <c r="N58" s="1142"/>
      <c r="O58" s="1142"/>
      <c r="P58" s="1142"/>
      <c r="Q58" s="1142"/>
      <c r="R58" s="32"/>
      <c r="S58" s="1142"/>
      <c r="T58" s="1142"/>
      <c r="U58" s="1142"/>
      <c r="V58" s="1142"/>
      <c r="W58" s="1121"/>
      <c r="X58" s="32"/>
      <c r="Y58" s="32"/>
      <c r="Z58" s="1137"/>
    </row>
    <row r="59" spans="2:26" ht="13.7" customHeight="1" x14ac:dyDescent="0.2">
      <c r="B59" s="889"/>
      <c r="C59" s="32"/>
      <c r="D59" s="32"/>
      <c r="E59" s="32"/>
      <c r="F59" s="32"/>
      <c r="G59" s="32"/>
      <c r="H59" s="1143"/>
      <c r="I59" s="1140"/>
      <c r="J59" s="1140"/>
      <c r="K59" s="1140"/>
      <c r="L59" s="1140"/>
      <c r="M59" s="1140"/>
      <c r="N59" s="1140"/>
      <c r="O59" s="1140"/>
      <c r="P59" s="1140"/>
      <c r="Q59" s="1140"/>
      <c r="R59" s="1144" t="s">
        <v>3801</v>
      </c>
      <c r="S59" s="1140"/>
      <c r="T59" s="1140"/>
      <c r="U59" s="1140"/>
      <c r="V59" s="1140"/>
      <c r="W59" s="32"/>
      <c r="X59" s="1145">
        <f>AB_Eingabe!$M$40</f>
        <v>4</v>
      </c>
      <c r="Y59" s="1146" t="str">
        <f>Bodenarten!C23</f>
        <v>sandiger bis schluffiger Lehm, sL - uL</v>
      </c>
      <c r="Z59" s="1138"/>
    </row>
    <row r="60" spans="2:26" ht="13.7" customHeight="1" x14ac:dyDescent="0.3">
      <c r="B60" s="889"/>
      <c r="C60" s="32"/>
      <c r="D60" s="32"/>
      <c r="E60" s="32"/>
      <c r="F60" s="32"/>
      <c r="G60" s="32"/>
      <c r="H60" s="1147" t="s">
        <v>3719</v>
      </c>
      <c r="I60" s="1148" t="s">
        <v>4516</v>
      </c>
      <c r="J60" s="1146"/>
      <c r="K60" s="1146"/>
      <c r="L60" s="1146">
        <v>6</v>
      </c>
      <c r="M60" s="32"/>
      <c r="N60" s="32"/>
      <c r="O60" s="1146"/>
      <c r="P60" s="1146"/>
      <c r="Q60" s="1146"/>
      <c r="R60" s="1146"/>
      <c r="S60" s="1146"/>
      <c r="T60" s="1146"/>
      <c r="U60" s="1146"/>
      <c r="V60" s="1146"/>
      <c r="W60" s="1149"/>
      <c r="X60" s="1149"/>
      <c r="Y60" s="1149"/>
      <c r="Z60" s="1139"/>
    </row>
    <row r="61" spans="2:26" ht="13.7" customHeight="1" x14ac:dyDescent="0.2">
      <c r="B61" s="1027"/>
      <c r="C61" s="1028" t="s">
        <v>4338</v>
      </c>
      <c r="D61" s="1029">
        <v>30</v>
      </c>
      <c r="E61" s="1029" t="s">
        <v>3703</v>
      </c>
      <c r="F61" s="32"/>
      <c r="G61" s="49" t="s">
        <v>4517</v>
      </c>
      <c r="H61" s="49"/>
      <c r="I61" s="1150"/>
      <c r="J61" s="1150"/>
      <c r="K61" s="1150"/>
      <c r="L61" s="1150"/>
      <c r="M61" s="1150"/>
      <c r="N61" s="1150"/>
      <c r="O61" s="1150"/>
      <c r="P61" s="1150"/>
      <c r="Q61" s="1150"/>
      <c r="R61" s="1151"/>
      <c r="S61" s="1150"/>
      <c r="T61" s="1150"/>
      <c r="U61" s="1150"/>
      <c r="V61" s="1150"/>
      <c r="W61" s="34"/>
      <c r="X61" s="34"/>
      <c r="Y61" s="34"/>
      <c r="Z61" s="1137"/>
    </row>
    <row r="62" spans="2:26" ht="13.7" customHeight="1" x14ac:dyDescent="0.2">
      <c r="B62" s="889"/>
      <c r="C62" s="193" t="s">
        <v>4131</v>
      </c>
      <c r="D62" s="32">
        <v>0</v>
      </c>
      <c r="E62" s="32" t="s">
        <v>3703</v>
      </c>
      <c r="F62" s="32"/>
      <c r="G62" s="1150"/>
      <c r="H62" s="1150"/>
      <c r="I62" s="1150"/>
      <c r="J62" s="1150"/>
      <c r="K62" s="1150"/>
      <c r="L62" s="1150"/>
      <c r="M62" s="1150"/>
      <c r="N62" s="1150"/>
      <c r="O62" s="1150"/>
      <c r="P62" s="1150"/>
      <c r="Q62" s="1150"/>
      <c r="R62" s="1150"/>
      <c r="S62" s="1150"/>
      <c r="T62" s="1150"/>
      <c r="U62" s="1150"/>
      <c r="V62" s="1150"/>
      <c r="W62" s="34"/>
      <c r="X62" s="34"/>
      <c r="Y62" s="34"/>
      <c r="Z62" s="1138"/>
    </row>
    <row r="63" spans="2:26" ht="13.7" customHeight="1" x14ac:dyDescent="0.2">
      <c r="B63" s="889"/>
      <c r="C63" s="32"/>
      <c r="D63" s="32"/>
      <c r="E63" s="32"/>
      <c r="F63" s="32"/>
      <c r="G63" s="1150"/>
      <c r="H63" s="1150"/>
      <c r="I63" s="1150"/>
      <c r="J63" s="1150"/>
      <c r="K63" s="1150"/>
      <c r="L63" s="1150"/>
      <c r="M63" s="1150"/>
      <c r="N63" s="1150"/>
      <c r="O63" s="1150"/>
      <c r="P63" s="1150"/>
      <c r="Q63" s="1150"/>
      <c r="R63" s="1150"/>
      <c r="S63" s="1150"/>
      <c r="T63" s="1150"/>
      <c r="U63" s="1150"/>
      <c r="V63" s="1150"/>
      <c r="W63" s="34"/>
      <c r="X63" s="34"/>
      <c r="Y63" s="32"/>
      <c r="Z63" s="1138"/>
    </row>
    <row r="64" spans="2:26" ht="13.7" customHeight="1" x14ac:dyDescent="0.2">
      <c r="B64" s="889" t="s">
        <v>3344</v>
      </c>
      <c r="C64" s="32" t="s">
        <v>4129</v>
      </c>
      <c r="D64" s="1030">
        <f>Kulturen!$H$407</f>
        <v>0</v>
      </c>
      <c r="E64" s="32" t="s">
        <v>3703</v>
      </c>
      <c r="F64" s="32"/>
      <c r="G64" s="194"/>
      <c r="H64" s="32"/>
      <c r="I64" s="32"/>
      <c r="J64" s="32"/>
      <c r="K64" s="32"/>
      <c r="L64" s="32"/>
      <c r="M64" s="32"/>
      <c r="N64" s="32"/>
      <c r="O64" s="32"/>
      <c r="P64" s="32"/>
      <c r="Q64" s="32"/>
      <c r="R64" s="894"/>
      <c r="S64" s="32"/>
      <c r="T64" s="32"/>
      <c r="U64" s="32"/>
      <c r="V64" s="32"/>
      <c r="W64" s="32"/>
      <c r="X64" s="32"/>
      <c r="Y64" s="37"/>
      <c r="Z64" s="1138"/>
    </row>
    <row r="65" spans="2:26" ht="13.7" customHeight="1" x14ac:dyDescent="0.2">
      <c r="B65" s="1136" t="s">
        <v>3344</v>
      </c>
      <c r="C65" s="1149" t="s">
        <v>4113</v>
      </c>
      <c r="D65" s="1152">
        <f>IF(D64&lt;D62,D62,IF(D64&lt;D58,D58,IF(D64&lt;D55,D64,D55)))</f>
        <v>0</v>
      </c>
      <c r="E65" s="1149" t="s">
        <v>3703</v>
      </c>
      <c r="F65" s="1149"/>
      <c r="G65" s="1149"/>
      <c r="H65" s="1149"/>
      <c r="I65" s="1149" t="s">
        <v>4598</v>
      </c>
      <c r="J65" s="1149"/>
      <c r="K65" s="1149"/>
      <c r="L65" s="1149"/>
      <c r="M65" s="1149"/>
      <c r="N65" s="1149"/>
      <c r="O65" s="1149"/>
      <c r="P65" s="1149"/>
      <c r="Q65" s="1149"/>
      <c r="R65" s="1149"/>
      <c r="S65" s="1149"/>
      <c r="T65" s="1149"/>
      <c r="U65" s="1149"/>
      <c r="V65" s="1149"/>
      <c r="W65" s="1149"/>
      <c r="X65" s="1149"/>
      <c r="Y65" s="1149"/>
      <c r="Z65" s="1153"/>
    </row>
    <row r="66" spans="2:26" ht="13.7" customHeight="1" x14ac:dyDescent="0.2">
      <c r="B66" s="37"/>
      <c r="C66" s="37"/>
      <c r="D66" s="37"/>
      <c r="E66" s="37"/>
      <c r="F66" s="37"/>
      <c r="G66" s="37"/>
      <c r="H66" s="37"/>
      <c r="I66" s="37"/>
      <c r="J66" s="37"/>
      <c r="K66" s="37"/>
      <c r="L66" s="37"/>
      <c r="M66" s="37"/>
      <c r="N66" s="37"/>
      <c r="O66" s="37"/>
      <c r="P66" s="37"/>
      <c r="Q66" s="37"/>
      <c r="R66" s="37"/>
      <c r="S66" s="37"/>
      <c r="T66" s="37"/>
      <c r="U66" s="37"/>
      <c r="V66" s="37"/>
      <c r="W66" s="37"/>
      <c r="X66" s="37"/>
      <c r="Y66" s="37"/>
      <c r="Z66" s="1105"/>
    </row>
    <row r="67" spans="2:26" ht="119.85" customHeight="1" x14ac:dyDescent="0.2">
      <c r="C67" s="1972" t="s">
        <v>4519</v>
      </c>
      <c r="D67" s="1972"/>
      <c r="E67" s="1972"/>
      <c r="F67" s="1972"/>
      <c r="G67" s="1972"/>
      <c r="H67" s="1972"/>
      <c r="I67" s="1972"/>
      <c r="J67" s="1972"/>
      <c r="K67" s="1972"/>
      <c r="L67" s="32"/>
      <c r="M67" s="32"/>
      <c r="N67" s="1972" t="s">
        <v>4515</v>
      </c>
      <c r="O67" s="1972"/>
      <c r="P67" s="1972"/>
      <c r="Q67" s="1972"/>
      <c r="R67" s="1972"/>
      <c r="S67" s="1972"/>
      <c r="T67" s="1972"/>
      <c r="U67" s="1972"/>
      <c r="V67" s="1972"/>
      <c r="W67" s="1972"/>
      <c r="X67" s="1972"/>
      <c r="Y67" s="1972"/>
      <c r="Z67" s="876"/>
    </row>
    <row r="68" spans="2:26" ht="13.7" customHeight="1" x14ac:dyDescent="0.2">
      <c r="D68" s="195"/>
    </row>
    <row r="69" spans="2:26" ht="13.7" customHeight="1" x14ac:dyDescent="0.2"/>
    <row r="70" spans="2:26" ht="13.7" customHeight="1" x14ac:dyDescent="0.2"/>
    <row r="71" spans="2:26" ht="13.7" customHeight="1" x14ac:dyDescent="0.2"/>
    <row r="72" spans="2:26" ht="13.7" customHeight="1" x14ac:dyDescent="0.2"/>
    <row r="73" spans="2:26" ht="13.7" customHeight="1" x14ac:dyDescent="0.2"/>
    <row r="74" spans="2:26" ht="13.7" customHeight="1" x14ac:dyDescent="0.2"/>
    <row r="75" spans="2:26" ht="13.7" customHeight="1" x14ac:dyDescent="0.2"/>
    <row r="76" spans="2:26" ht="13.7" customHeight="1" x14ac:dyDescent="0.2"/>
    <row r="77" spans="2:26" ht="13.7" customHeight="1" x14ac:dyDescent="0.2"/>
    <row r="78" spans="2:26" ht="13.7" customHeight="1" x14ac:dyDescent="0.2"/>
    <row r="79" spans="2:26" ht="13.7" customHeight="1" x14ac:dyDescent="0.2"/>
    <row r="80" spans="2:26" ht="13.7" customHeight="1" x14ac:dyDescent="0.2"/>
    <row r="81" ht="13.7" customHeight="1" x14ac:dyDescent="0.2"/>
    <row r="82" ht="13.7" customHeight="1" x14ac:dyDescent="0.2"/>
    <row r="83" ht="13.7" customHeight="1" x14ac:dyDescent="0.2"/>
    <row r="84" ht="13.7" customHeight="1" x14ac:dyDescent="0.2"/>
    <row r="85" ht="13.7" customHeight="1" x14ac:dyDescent="0.2"/>
    <row r="86" ht="13.7" customHeight="1" x14ac:dyDescent="0.2"/>
    <row r="87" ht="13.7" customHeight="1" x14ac:dyDescent="0.2"/>
    <row r="88" ht="13.7" customHeight="1" x14ac:dyDescent="0.2"/>
    <row r="89" ht="13.7" customHeight="1" x14ac:dyDescent="0.2"/>
    <row r="90" ht="13.7" customHeight="1" x14ac:dyDescent="0.2"/>
    <row r="91" ht="13.7" customHeight="1" x14ac:dyDescent="0.2"/>
    <row r="92" ht="13.7" customHeight="1" x14ac:dyDescent="0.2"/>
    <row r="93" ht="13.7" customHeight="1" x14ac:dyDescent="0.2"/>
    <row r="94" ht="13.7" customHeight="1" x14ac:dyDescent="0.2"/>
    <row r="95" ht="13.7" customHeight="1" x14ac:dyDescent="0.2"/>
    <row r="96" ht="13.7" customHeight="1" x14ac:dyDescent="0.2"/>
    <row r="97" ht="13.7" customHeight="1" x14ac:dyDescent="0.2"/>
    <row r="98" ht="13.7" customHeight="1" x14ac:dyDescent="0.2"/>
    <row r="99" ht="13.7" customHeight="1" x14ac:dyDescent="0.2"/>
    <row r="100" ht="13.7" customHeight="1" x14ac:dyDescent="0.2"/>
    <row r="101" ht="13.7" customHeight="1" x14ac:dyDescent="0.2"/>
    <row r="102" ht="13.7" customHeight="1" x14ac:dyDescent="0.2"/>
    <row r="103" ht="13.7" customHeight="1" x14ac:dyDescent="0.2"/>
    <row r="104" ht="13.7" customHeight="1" x14ac:dyDescent="0.2"/>
    <row r="105" ht="13.7" customHeight="1" x14ac:dyDescent="0.2"/>
    <row r="106" ht="13.7" customHeight="1" x14ac:dyDescent="0.2"/>
    <row r="107" ht="13.7" customHeight="1" x14ac:dyDescent="0.2"/>
    <row r="108" ht="13.7" customHeight="1" x14ac:dyDescent="0.2"/>
    <row r="109" ht="13.7" customHeight="1" x14ac:dyDescent="0.2"/>
    <row r="110" ht="13.7" customHeight="1" x14ac:dyDescent="0.2"/>
    <row r="111" ht="13.7" customHeight="1" x14ac:dyDescent="0.2"/>
    <row r="112" ht="13.7" customHeight="1" x14ac:dyDescent="0.2"/>
    <row r="113" ht="13.7" customHeight="1" x14ac:dyDescent="0.2"/>
    <row r="114" ht="13.7" customHeight="1" x14ac:dyDescent="0.2"/>
    <row r="115" ht="13.7" customHeight="1" x14ac:dyDescent="0.2"/>
    <row r="116" ht="13.7" customHeight="1" x14ac:dyDescent="0.2"/>
    <row r="117" ht="13.7" customHeight="1" x14ac:dyDescent="0.2"/>
    <row r="118" ht="13.7" customHeight="1" x14ac:dyDescent="0.2"/>
    <row r="119" ht="13.7" customHeight="1" x14ac:dyDescent="0.2"/>
    <row r="120" ht="13.7" customHeight="1" x14ac:dyDescent="0.2"/>
    <row r="121" ht="13.7" customHeight="1" x14ac:dyDescent="0.2"/>
    <row r="122" ht="13.7" customHeight="1" x14ac:dyDescent="0.2"/>
    <row r="123" ht="13.7" customHeight="1" x14ac:dyDescent="0.2"/>
    <row r="124" ht="13.7" customHeight="1" x14ac:dyDescent="0.2"/>
    <row r="125" ht="13.7" customHeight="1" x14ac:dyDescent="0.2"/>
    <row r="126" ht="13.7" customHeight="1" x14ac:dyDescent="0.2"/>
    <row r="127" ht="13.7" customHeight="1" x14ac:dyDescent="0.2"/>
    <row r="128" ht="13.7" customHeight="1" x14ac:dyDescent="0.2"/>
    <row r="129" ht="13.7" customHeight="1" x14ac:dyDescent="0.2"/>
    <row r="130" ht="13.7" customHeight="1" x14ac:dyDescent="0.2"/>
    <row r="131" ht="13.7" customHeight="1" x14ac:dyDescent="0.2"/>
    <row r="132" ht="13.7" customHeight="1" x14ac:dyDescent="0.2"/>
    <row r="133" ht="13.7" customHeight="1" x14ac:dyDescent="0.2"/>
    <row r="134" ht="13.7" customHeight="1" x14ac:dyDescent="0.2"/>
    <row r="135" ht="13.7" customHeight="1" x14ac:dyDescent="0.2"/>
    <row r="136" ht="13.7" customHeight="1" x14ac:dyDescent="0.2"/>
    <row r="137" ht="13.7" customHeight="1" x14ac:dyDescent="0.2"/>
    <row r="138" ht="13.7" customHeight="1" x14ac:dyDescent="0.2"/>
    <row r="139" ht="13.7" customHeight="1" x14ac:dyDescent="0.2"/>
    <row r="140" ht="13.7" customHeight="1" x14ac:dyDescent="0.2"/>
    <row r="141" ht="13.7" customHeight="1" x14ac:dyDescent="0.2"/>
    <row r="142" ht="13.7" customHeight="1" x14ac:dyDescent="0.2"/>
    <row r="143" ht="13.7" customHeight="1" x14ac:dyDescent="0.2"/>
    <row r="144" ht="13.7" customHeight="1" x14ac:dyDescent="0.2"/>
    <row r="145" ht="13.7" customHeight="1" x14ac:dyDescent="0.2"/>
    <row r="146" ht="13.7" customHeight="1" x14ac:dyDescent="0.2"/>
    <row r="147" ht="13.7" customHeight="1" x14ac:dyDescent="0.2"/>
    <row r="148" ht="13.7" customHeight="1" x14ac:dyDescent="0.2"/>
    <row r="149" ht="13.7" customHeight="1" x14ac:dyDescent="0.2"/>
    <row r="150" ht="13.7" customHeight="1" x14ac:dyDescent="0.2"/>
    <row r="151" ht="13.7" customHeight="1" x14ac:dyDescent="0.2"/>
    <row r="152" ht="13.7" customHeight="1" x14ac:dyDescent="0.2"/>
    <row r="153" ht="13.7" customHeight="1" x14ac:dyDescent="0.2"/>
    <row r="154" ht="13.7" customHeight="1" x14ac:dyDescent="0.2"/>
    <row r="155" ht="13.7" customHeight="1" x14ac:dyDescent="0.2"/>
    <row r="156" ht="13.7" customHeight="1" x14ac:dyDescent="0.2"/>
    <row r="157" ht="13.7" customHeight="1" x14ac:dyDescent="0.2"/>
    <row r="158" ht="13.7" customHeight="1" x14ac:dyDescent="0.2"/>
    <row r="159" ht="13.7" customHeight="1" x14ac:dyDescent="0.2"/>
    <row r="160" ht="13.7" customHeight="1" x14ac:dyDescent="0.2"/>
    <row r="161" ht="13.7" customHeight="1" x14ac:dyDescent="0.2"/>
    <row r="162" ht="13.7" customHeight="1" x14ac:dyDescent="0.2"/>
    <row r="163" ht="13.7" customHeight="1" x14ac:dyDescent="0.2"/>
    <row r="164" ht="13.7" customHeight="1" x14ac:dyDescent="0.2"/>
    <row r="165" ht="13.7" customHeight="1" x14ac:dyDescent="0.2"/>
    <row r="166" ht="13.7" customHeight="1" x14ac:dyDescent="0.2"/>
    <row r="167" ht="13.7" customHeight="1" x14ac:dyDescent="0.2"/>
    <row r="168" ht="13.7" customHeight="1" x14ac:dyDescent="0.2"/>
    <row r="169" ht="13.7" customHeight="1" x14ac:dyDescent="0.2"/>
    <row r="170" ht="13.7" customHeight="1" x14ac:dyDescent="0.2"/>
    <row r="171" ht="13.7" customHeight="1" x14ac:dyDescent="0.2"/>
    <row r="172" ht="13.7" customHeight="1" x14ac:dyDescent="0.2"/>
    <row r="173" ht="13.7" customHeight="1" x14ac:dyDescent="0.2"/>
    <row r="174" ht="13.7" customHeight="1" x14ac:dyDescent="0.2"/>
    <row r="175" ht="13.7" customHeight="1" x14ac:dyDescent="0.2"/>
    <row r="176" ht="13.7" customHeight="1" x14ac:dyDescent="0.2"/>
    <row r="177" ht="13.7" customHeight="1" x14ac:dyDescent="0.2"/>
    <row r="178" ht="13.7" customHeight="1" x14ac:dyDescent="0.2"/>
    <row r="179" ht="13.7" customHeight="1" x14ac:dyDescent="0.2"/>
    <row r="180" ht="13.7" customHeight="1" x14ac:dyDescent="0.2"/>
    <row r="181" ht="13.7" customHeight="1" x14ac:dyDescent="0.2"/>
    <row r="182" ht="13.7" customHeight="1" x14ac:dyDescent="0.2"/>
    <row r="183" ht="13.7" customHeight="1" x14ac:dyDescent="0.2"/>
    <row r="184" ht="13.7" customHeight="1" x14ac:dyDescent="0.2"/>
    <row r="185" ht="13.7" customHeight="1" x14ac:dyDescent="0.2"/>
    <row r="186" ht="13.7" customHeight="1" x14ac:dyDescent="0.2"/>
    <row r="187" ht="13.7" customHeight="1" x14ac:dyDescent="0.2"/>
    <row r="188" ht="13.7" customHeight="1" x14ac:dyDescent="0.2"/>
    <row r="189" ht="13.7" customHeight="1" x14ac:dyDescent="0.2"/>
    <row r="190" ht="13.7" customHeight="1" x14ac:dyDescent="0.2"/>
    <row r="191" ht="13.7" customHeight="1" x14ac:dyDescent="0.2"/>
    <row r="192" ht="13.7" customHeight="1" x14ac:dyDescent="0.2"/>
    <row r="193" ht="13.7" customHeight="1" x14ac:dyDescent="0.2"/>
    <row r="194" ht="13.7" customHeight="1" x14ac:dyDescent="0.2"/>
    <row r="195" ht="13.7" customHeight="1" x14ac:dyDescent="0.2"/>
    <row r="196" ht="13.7" customHeight="1" x14ac:dyDescent="0.2"/>
    <row r="197" ht="13.7" customHeight="1" x14ac:dyDescent="0.2"/>
    <row r="198" ht="13.7" customHeight="1" x14ac:dyDescent="0.2"/>
    <row r="199" ht="13.7" customHeight="1" x14ac:dyDescent="0.2"/>
    <row r="200" ht="13.7" customHeight="1" x14ac:dyDescent="0.2"/>
    <row r="201" ht="13.7" customHeight="1" x14ac:dyDescent="0.2"/>
    <row r="202" ht="13.7" customHeight="1" x14ac:dyDescent="0.2"/>
    <row r="203" ht="13.7" customHeight="1" x14ac:dyDescent="0.2"/>
    <row r="204" ht="13.7" customHeight="1" x14ac:dyDescent="0.2"/>
    <row r="205" ht="13.7" customHeight="1" x14ac:dyDescent="0.2"/>
    <row r="206" ht="13.7" customHeight="1" x14ac:dyDescent="0.2"/>
    <row r="207" ht="13.7" customHeight="1" x14ac:dyDescent="0.2"/>
    <row r="208" ht="13.7" customHeight="1" x14ac:dyDescent="0.2"/>
    <row r="209" ht="13.7" customHeight="1" x14ac:dyDescent="0.2"/>
    <row r="210" ht="13.7" customHeight="1" x14ac:dyDescent="0.2"/>
    <row r="211" ht="13.7" customHeight="1" x14ac:dyDescent="0.2"/>
    <row r="212" ht="13.7" customHeight="1" x14ac:dyDescent="0.2"/>
    <row r="213" ht="13.7" customHeight="1" x14ac:dyDescent="0.2"/>
    <row r="214" ht="13.7" customHeight="1" x14ac:dyDescent="0.2"/>
    <row r="215" ht="13.7" customHeight="1" x14ac:dyDescent="0.2"/>
    <row r="216" ht="13.7" customHeight="1" x14ac:dyDescent="0.2"/>
    <row r="217" ht="13.7" customHeight="1" x14ac:dyDescent="0.2"/>
    <row r="218" ht="13.7" customHeight="1" x14ac:dyDescent="0.2"/>
    <row r="219" ht="13.7" customHeight="1" x14ac:dyDescent="0.2"/>
    <row r="220" ht="13.7" customHeight="1" x14ac:dyDescent="0.2"/>
    <row r="221" ht="13.7" customHeight="1" x14ac:dyDescent="0.2"/>
    <row r="222" ht="13.7" customHeight="1" x14ac:dyDescent="0.2"/>
    <row r="223" ht="13.7" customHeight="1" x14ac:dyDescent="0.2"/>
    <row r="224" ht="13.7" customHeight="1" x14ac:dyDescent="0.2"/>
    <row r="225" ht="13.7" customHeight="1" x14ac:dyDescent="0.2"/>
    <row r="226" ht="13.7" customHeight="1" x14ac:dyDescent="0.2"/>
    <row r="227" ht="13.7" customHeight="1" x14ac:dyDescent="0.2"/>
    <row r="228" ht="13.7" customHeight="1" x14ac:dyDescent="0.2"/>
    <row r="229" ht="13.7" customHeight="1" x14ac:dyDescent="0.2"/>
    <row r="230" ht="13.7" customHeight="1" x14ac:dyDescent="0.2"/>
    <row r="231" ht="13.7" customHeight="1" x14ac:dyDescent="0.2"/>
    <row r="232" ht="13.7" customHeight="1" x14ac:dyDescent="0.2"/>
  </sheetData>
  <sheetProtection password="8677" sheet="1" objects="1" scenarios="1"/>
  <mergeCells count="3">
    <mergeCell ref="C67:K67"/>
    <mergeCell ref="N67:V67"/>
    <mergeCell ref="W67:Y67"/>
  </mergeCells>
  <printOptions horizontalCentered="1" verticalCentered="1"/>
  <pageMargins left="0.78740157480314965" right="0.59055118110236227" top="0.39370078740157483" bottom="0.39370078740157483" header="0" footer="0.11811023622047245"/>
  <pageSetup paperSize="9" scale="61" fitToHeight="0" orientation="landscape" horizontalDpi="1200" verticalDpi="1200" r:id="rId1"/>
  <headerFooter alignWithMargins="0">
    <oddFooter>&amp;L&amp;8LEL / LTZ / LAZBW / LWA-DS&amp;C&amp;8&amp;F  &amp;A&amp;R&amp;8&amp;D</oddFooter>
  </headerFooter>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9">
    <tabColor theme="6" tint="0.79998168889431442"/>
    <pageSetUpPr fitToPage="1"/>
  </sheetPr>
  <dimension ref="A1:AK217"/>
  <sheetViews>
    <sheetView zoomScaleNormal="100" workbookViewId="0">
      <pane xSplit="4" ySplit="22" topLeftCell="E35" activePane="bottomRight" state="frozen"/>
      <selection activeCell="A173" sqref="A173"/>
      <selection pane="topRight" activeCell="A173" sqref="A173"/>
      <selection pane="bottomLeft" activeCell="A173" sqref="A173"/>
      <selection pane="bottomRight" activeCell="A173" sqref="A173"/>
    </sheetView>
  </sheetViews>
  <sheetFormatPr baseColWidth="10" defaultColWidth="10.125" defaultRowHeight="14.25" x14ac:dyDescent="0.2"/>
  <cols>
    <col min="1" max="1" width="2.75" style="146" customWidth="1"/>
    <col min="2" max="2" width="5.5" style="146" customWidth="1"/>
    <col min="3" max="3" width="5.5" style="657" customWidth="1"/>
    <col min="4" max="4" width="33" style="146" customWidth="1"/>
    <col min="5" max="13" width="9.25" style="576" customWidth="1"/>
    <col min="14" max="14" width="15.625" style="576" customWidth="1"/>
    <col min="15" max="15" width="15.5" style="576" customWidth="1"/>
    <col min="16" max="16" width="16.5" style="576" customWidth="1"/>
    <col min="17" max="18" width="10.125" style="146" customWidth="1"/>
    <col min="19" max="232" width="10.125" style="146"/>
    <col min="233" max="233" width="1" style="146" customWidth="1"/>
    <col min="234" max="234" width="5.5" style="146" customWidth="1"/>
    <col min="235" max="235" width="33" style="146" customWidth="1"/>
    <col min="236" max="236" width="6.75" style="146" bestFit="1" customWidth="1"/>
    <col min="237" max="237" width="8.875" style="146" customWidth="1"/>
    <col min="238" max="238" width="10.5" style="146" customWidth="1"/>
    <col min="239" max="239" width="13.125" style="146" customWidth="1"/>
    <col min="240" max="240" width="10.125" style="146"/>
    <col min="241" max="254" width="0" style="146" hidden="1" customWidth="1"/>
    <col min="255" max="488" width="10.125" style="146"/>
    <col min="489" max="489" width="1" style="146" customWidth="1"/>
    <col min="490" max="490" width="5.5" style="146" customWidth="1"/>
    <col min="491" max="491" width="33" style="146" customWidth="1"/>
    <col min="492" max="492" width="6.75" style="146" bestFit="1" customWidth="1"/>
    <col min="493" max="493" width="8.875" style="146" customWidth="1"/>
    <col min="494" max="494" width="10.5" style="146" customWidth="1"/>
    <col min="495" max="495" width="13.125" style="146" customWidth="1"/>
    <col min="496" max="496" width="10.125" style="146"/>
    <col min="497" max="510" width="0" style="146" hidden="1" customWidth="1"/>
    <col min="511" max="744" width="10.125" style="146"/>
    <col min="745" max="745" width="1" style="146" customWidth="1"/>
    <col min="746" max="746" width="5.5" style="146" customWidth="1"/>
    <col min="747" max="747" width="33" style="146" customWidth="1"/>
    <col min="748" max="748" width="6.75" style="146" bestFit="1" customWidth="1"/>
    <col min="749" max="749" width="8.875" style="146" customWidth="1"/>
    <col min="750" max="750" width="10.5" style="146" customWidth="1"/>
    <col min="751" max="751" width="13.125" style="146" customWidth="1"/>
    <col min="752" max="752" width="10.125" style="146"/>
    <col min="753" max="766" width="0" style="146" hidden="1" customWidth="1"/>
    <col min="767" max="1000" width="10.125" style="146"/>
    <col min="1001" max="1001" width="1" style="146" customWidth="1"/>
    <col min="1002" max="1002" width="5.5" style="146" customWidth="1"/>
    <col min="1003" max="1003" width="33" style="146" customWidth="1"/>
    <col min="1004" max="1004" width="6.75" style="146" bestFit="1" customWidth="1"/>
    <col min="1005" max="1005" width="8.875" style="146" customWidth="1"/>
    <col min="1006" max="1006" width="10.5" style="146" customWidth="1"/>
    <col min="1007" max="1007" width="13.125" style="146" customWidth="1"/>
    <col min="1008" max="1008" width="10.125" style="146"/>
    <col min="1009" max="1022" width="0" style="146" hidden="1" customWidth="1"/>
    <col min="1023" max="1256" width="10.125" style="146"/>
    <col min="1257" max="1257" width="1" style="146" customWidth="1"/>
    <col min="1258" max="1258" width="5.5" style="146" customWidth="1"/>
    <col min="1259" max="1259" width="33" style="146" customWidth="1"/>
    <col min="1260" max="1260" width="6.75" style="146" bestFit="1" customWidth="1"/>
    <col min="1261" max="1261" width="8.875" style="146" customWidth="1"/>
    <col min="1262" max="1262" width="10.5" style="146" customWidth="1"/>
    <col min="1263" max="1263" width="13.125" style="146" customWidth="1"/>
    <col min="1264" max="1264" width="10.125" style="146"/>
    <col min="1265" max="1278" width="0" style="146" hidden="1" customWidth="1"/>
    <col min="1279" max="1512" width="10.125" style="146"/>
    <col min="1513" max="1513" width="1" style="146" customWidth="1"/>
    <col min="1514" max="1514" width="5.5" style="146" customWidth="1"/>
    <col min="1515" max="1515" width="33" style="146" customWidth="1"/>
    <col min="1516" max="1516" width="6.75" style="146" bestFit="1" customWidth="1"/>
    <col min="1517" max="1517" width="8.875" style="146" customWidth="1"/>
    <col min="1518" max="1518" width="10.5" style="146" customWidth="1"/>
    <col min="1519" max="1519" width="13.125" style="146" customWidth="1"/>
    <col min="1520" max="1520" width="10.125" style="146"/>
    <col min="1521" max="1534" width="0" style="146" hidden="1" customWidth="1"/>
    <col min="1535" max="1768" width="10.125" style="146"/>
    <col min="1769" max="1769" width="1" style="146" customWidth="1"/>
    <col min="1770" max="1770" width="5.5" style="146" customWidth="1"/>
    <col min="1771" max="1771" width="33" style="146" customWidth="1"/>
    <col min="1772" max="1772" width="6.75" style="146" bestFit="1" customWidth="1"/>
    <col min="1773" max="1773" width="8.875" style="146" customWidth="1"/>
    <col min="1774" max="1774" width="10.5" style="146" customWidth="1"/>
    <col min="1775" max="1775" width="13.125" style="146" customWidth="1"/>
    <col min="1776" max="1776" width="10.125" style="146"/>
    <col min="1777" max="1790" width="0" style="146" hidden="1" customWidth="1"/>
    <col min="1791" max="2024" width="10.125" style="146"/>
    <col min="2025" max="2025" width="1" style="146" customWidth="1"/>
    <col min="2026" max="2026" width="5.5" style="146" customWidth="1"/>
    <col min="2027" max="2027" width="33" style="146" customWidth="1"/>
    <col min="2028" max="2028" width="6.75" style="146" bestFit="1" customWidth="1"/>
    <col min="2029" max="2029" width="8.875" style="146" customWidth="1"/>
    <col min="2030" max="2030" width="10.5" style="146" customWidth="1"/>
    <col min="2031" max="2031" width="13.125" style="146" customWidth="1"/>
    <col min="2032" max="2032" width="10.125" style="146"/>
    <col min="2033" max="2046" width="0" style="146" hidden="1" customWidth="1"/>
    <col min="2047" max="2280" width="10.125" style="146"/>
    <col min="2281" max="2281" width="1" style="146" customWidth="1"/>
    <col min="2282" max="2282" width="5.5" style="146" customWidth="1"/>
    <col min="2283" max="2283" width="33" style="146" customWidth="1"/>
    <col min="2284" max="2284" width="6.75" style="146" bestFit="1" customWidth="1"/>
    <col min="2285" max="2285" width="8.875" style="146" customWidth="1"/>
    <col min="2286" max="2286" width="10.5" style="146" customWidth="1"/>
    <col min="2287" max="2287" width="13.125" style="146" customWidth="1"/>
    <col min="2288" max="2288" width="10.125" style="146"/>
    <col min="2289" max="2302" width="0" style="146" hidden="1" customWidth="1"/>
    <col min="2303" max="2536" width="10.125" style="146"/>
    <col min="2537" max="2537" width="1" style="146" customWidth="1"/>
    <col min="2538" max="2538" width="5.5" style="146" customWidth="1"/>
    <col min="2539" max="2539" width="33" style="146" customWidth="1"/>
    <col min="2540" max="2540" width="6.75" style="146" bestFit="1" customWidth="1"/>
    <col min="2541" max="2541" width="8.875" style="146" customWidth="1"/>
    <col min="2542" max="2542" width="10.5" style="146" customWidth="1"/>
    <col min="2543" max="2543" width="13.125" style="146" customWidth="1"/>
    <col min="2544" max="2544" width="10.125" style="146"/>
    <col min="2545" max="2558" width="0" style="146" hidden="1" customWidth="1"/>
    <col min="2559" max="2792" width="10.125" style="146"/>
    <col min="2793" max="2793" width="1" style="146" customWidth="1"/>
    <col min="2794" max="2794" width="5.5" style="146" customWidth="1"/>
    <col min="2795" max="2795" width="33" style="146" customWidth="1"/>
    <col min="2796" max="2796" width="6.75" style="146" bestFit="1" customWidth="1"/>
    <col min="2797" max="2797" width="8.875" style="146" customWidth="1"/>
    <col min="2798" max="2798" width="10.5" style="146" customWidth="1"/>
    <col min="2799" max="2799" width="13.125" style="146" customWidth="1"/>
    <col min="2800" max="2800" width="10.125" style="146"/>
    <col min="2801" max="2814" width="0" style="146" hidden="1" customWidth="1"/>
    <col min="2815" max="3048" width="10.125" style="146"/>
    <col min="3049" max="3049" width="1" style="146" customWidth="1"/>
    <col min="3050" max="3050" width="5.5" style="146" customWidth="1"/>
    <col min="3051" max="3051" width="33" style="146" customWidth="1"/>
    <col min="3052" max="3052" width="6.75" style="146" bestFit="1" customWidth="1"/>
    <col min="3053" max="3053" width="8.875" style="146" customWidth="1"/>
    <col min="3054" max="3054" width="10.5" style="146" customWidth="1"/>
    <col min="3055" max="3055" width="13.125" style="146" customWidth="1"/>
    <col min="3056" max="3056" width="10.125" style="146"/>
    <col min="3057" max="3070" width="0" style="146" hidden="1" customWidth="1"/>
    <col min="3071" max="3304" width="10.125" style="146"/>
    <col min="3305" max="3305" width="1" style="146" customWidth="1"/>
    <col min="3306" max="3306" width="5.5" style="146" customWidth="1"/>
    <col min="3307" max="3307" width="33" style="146" customWidth="1"/>
    <col min="3308" max="3308" width="6.75" style="146" bestFit="1" customWidth="1"/>
    <col min="3309" max="3309" width="8.875" style="146" customWidth="1"/>
    <col min="3310" max="3310" width="10.5" style="146" customWidth="1"/>
    <col min="3311" max="3311" width="13.125" style="146" customWidth="1"/>
    <col min="3312" max="3312" width="10.125" style="146"/>
    <col min="3313" max="3326" width="0" style="146" hidden="1" customWidth="1"/>
    <col min="3327" max="3560" width="10.125" style="146"/>
    <col min="3561" max="3561" width="1" style="146" customWidth="1"/>
    <col min="3562" max="3562" width="5.5" style="146" customWidth="1"/>
    <col min="3563" max="3563" width="33" style="146" customWidth="1"/>
    <col min="3564" max="3564" width="6.75" style="146" bestFit="1" customWidth="1"/>
    <col min="3565" max="3565" width="8.875" style="146" customWidth="1"/>
    <col min="3566" max="3566" width="10.5" style="146" customWidth="1"/>
    <col min="3567" max="3567" width="13.125" style="146" customWidth="1"/>
    <col min="3568" max="3568" width="10.125" style="146"/>
    <col min="3569" max="3582" width="0" style="146" hidden="1" customWidth="1"/>
    <col min="3583" max="3816" width="10.125" style="146"/>
    <col min="3817" max="3817" width="1" style="146" customWidth="1"/>
    <col min="3818" max="3818" width="5.5" style="146" customWidth="1"/>
    <col min="3819" max="3819" width="33" style="146" customWidth="1"/>
    <col min="3820" max="3820" width="6.75" style="146" bestFit="1" customWidth="1"/>
    <col min="3821" max="3821" width="8.875" style="146" customWidth="1"/>
    <col min="3822" max="3822" width="10.5" style="146" customWidth="1"/>
    <col min="3823" max="3823" width="13.125" style="146" customWidth="1"/>
    <col min="3824" max="3824" width="10.125" style="146"/>
    <col min="3825" max="3838" width="0" style="146" hidden="1" customWidth="1"/>
    <col min="3839" max="4072" width="10.125" style="146"/>
    <col min="4073" max="4073" width="1" style="146" customWidth="1"/>
    <col min="4074" max="4074" width="5.5" style="146" customWidth="1"/>
    <col min="4075" max="4075" width="33" style="146" customWidth="1"/>
    <col min="4076" max="4076" width="6.75" style="146" bestFit="1" customWidth="1"/>
    <col min="4077" max="4077" width="8.875" style="146" customWidth="1"/>
    <col min="4078" max="4078" width="10.5" style="146" customWidth="1"/>
    <col min="4079" max="4079" width="13.125" style="146" customWidth="1"/>
    <col min="4080" max="4080" width="10.125" style="146"/>
    <col min="4081" max="4094" width="0" style="146" hidden="1" customWidth="1"/>
    <col min="4095" max="4328" width="10.125" style="146"/>
    <col min="4329" max="4329" width="1" style="146" customWidth="1"/>
    <col min="4330" max="4330" width="5.5" style="146" customWidth="1"/>
    <col min="4331" max="4331" width="33" style="146" customWidth="1"/>
    <col min="4332" max="4332" width="6.75" style="146" bestFit="1" customWidth="1"/>
    <col min="4333" max="4333" width="8.875" style="146" customWidth="1"/>
    <col min="4334" max="4334" width="10.5" style="146" customWidth="1"/>
    <col min="4335" max="4335" width="13.125" style="146" customWidth="1"/>
    <col min="4336" max="4336" width="10.125" style="146"/>
    <col min="4337" max="4350" width="0" style="146" hidden="1" customWidth="1"/>
    <col min="4351" max="4584" width="10.125" style="146"/>
    <col min="4585" max="4585" width="1" style="146" customWidth="1"/>
    <col min="4586" max="4586" width="5.5" style="146" customWidth="1"/>
    <col min="4587" max="4587" width="33" style="146" customWidth="1"/>
    <col min="4588" max="4588" width="6.75" style="146" bestFit="1" customWidth="1"/>
    <col min="4589" max="4589" width="8.875" style="146" customWidth="1"/>
    <col min="4590" max="4590" width="10.5" style="146" customWidth="1"/>
    <col min="4591" max="4591" width="13.125" style="146" customWidth="1"/>
    <col min="4592" max="4592" width="10.125" style="146"/>
    <col min="4593" max="4606" width="0" style="146" hidden="1" customWidth="1"/>
    <col min="4607" max="4840" width="10.125" style="146"/>
    <col min="4841" max="4841" width="1" style="146" customWidth="1"/>
    <col min="4842" max="4842" width="5.5" style="146" customWidth="1"/>
    <col min="4843" max="4843" width="33" style="146" customWidth="1"/>
    <col min="4844" max="4844" width="6.75" style="146" bestFit="1" customWidth="1"/>
    <col min="4845" max="4845" width="8.875" style="146" customWidth="1"/>
    <col min="4846" max="4846" width="10.5" style="146" customWidth="1"/>
    <col min="4847" max="4847" width="13.125" style="146" customWidth="1"/>
    <col min="4848" max="4848" width="10.125" style="146"/>
    <col min="4849" max="4862" width="0" style="146" hidden="1" customWidth="1"/>
    <col min="4863" max="5096" width="10.125" style="146"/>
    <col min="5097" max="5097" width="1" style="146" customWidth="1"/>
    <col min="5098" max="5098" width="5.5" style="146" customWidth="1"/>
    <col min="5099" max="5099" width="33" style="146" customWidth="1"/>
    <col min="5100" max="5100" width="6.75" style="146" bestFit="1" customWidth="1"/>
    <col min="5101" max="5101" width="8.875" style="146" customWidth="1"/>
    <col min="5102" max="5102" width="10.5" style="146" customWidth="1"/>
    <col min="5103" max="5103" width="13.125" style="146" customWidth="1"/>
    <col min="5104" max="5104" width="10.125" style="146"/>
    <col min="5105" max="5118" width="0" style="146" hidden="1" customWidth="1"/>
    <col min="5119" max="5352" width="10.125" style="146"/>
    <col min="5353" max="5353" width="1" style="146" customWidth="1"/>
    <col min="5354" max="5354" width="5.5" style="146" customWidth="1"/>
    <col min="5355" max="5355" width="33" style="146" customWidth="1"/>
    <col min="5356" max="5356" width="6.75" style="146" bestFit="1" customWidth="1"/>
    <col min="5357" max="5357" width="8.875" style="146" customWidth="1"/>
    <col min="5358" max="5358" width="10.5" style="146" customWidth="1"/>
    <col min="5359" max="5359" width="13.125" style="146" customWidth="1"/>
    <col min="5360" max="5360" width="10.125" style="146"/>
    <col min="5361" max="5374" width="0" style="146" hidden="1" customWidth="1"/>
    <col min="5375" max="5608" width="10.125" style="146"/>
    <col min="5609" max="5609" width="1" style="146" customWidth="1"/>
    <col min="5610" max="5610" width="5.5" style="146" customWidth="1"/>
    <col min="5611" max="5611" width="33" style="146" customWidth="1"/>
    <col min="5612" max="5612" width="6.75" style="146" bestFit="1" customWidth="1"/>
    <col min="5613" max="5613" width="8.875" style="146" customWidth="1"/>
    <col min="5614" max="5614" width="10.5" style="146" customWidth="1"/>
    <col min="5615" max="5615" width="13.125" style="146" customWidth="1"/>
    <col min="5616" max="5616" width="10.125" style="146"/>
    <col min="5617" max="5630" width="0" style="146" hidden="1" customWidth="1"/>
    <col min="5631" max="5864" width="10.125" style="146"/>
    <col min="5865" max="5865" width="1" style="146" customWidth="1"/>
    <col min="5866" max="5866" width="5.5" style="146" customWidth="1"/>
    <col min="5867" max="5867" width="33" style="146" customWidth="1"/>
    <col min="5868" max="5868" width="6.75" style="146" bestFit="1" customWidth="1"/>
    <col min="5869" max="5869" width="8.875" style="146" customWidth="1"/>
    <col min="5870" max="5870" width="10.5" style="146" customWidth="1"/>
    <col min="5871" max="5871" width="13.125" style="146" customWidth="1"/>
    <col min="5872" max="5872" width="10.125" style="146"/>
    <col min="5873" max="5886" width="0" style="146" hidden="1" customWidth="1"/>
    <col min="5887" max="6120" width="10.125" style="146"/>
    <col min="6121" max="6121" width="1" style="146" customWidth="1"/>
    <col min="6122" max="6122" width="5.5" style="146" customWidth="1"/>
    <col min="6123" max="6123" width="33" style="146" customWidth="1"/>
    <col min="6124" max="6124" width="6.75" style="146" bestFit="1" customWidth="1"/>
    <col min="6125" max="6125" width="8.875" style="146" customWidth="1"/>
    <col min="6126" max="6126" width="10.5" style="146" customWidth="1"/>
    <col min="6127" max="6127" width="13.125" style="146" customWidth="1"/>
    <col min="6128" max="6128" width="10.125" style="146"/>
    <col min="6129" max="6142" width="0" style="146" hidden="1" customWidth="1"/>
    <col min="6143" max="6376" width="10.125" style="146"/>
    <col min="6377" max="6377" width="1" style="146" customWidth="1"/>
    <col min="6378" max="6378" width="5.5" style="146" customWidth="1"/>
    <col min="6379" max="6379" width="33" style="146" customWidth="1"/>
    <col min="6380" max="6380" width="6.75" style="146" bestFit="1" customWidth="1"/>
    <col min="6381" max="6381" width="8.875" style="146" customWidth="1"/>
    <col min="6382" max="6382" width="10.5" style="146" customWidth="1"/>
    <col min="6383" max="6383" width="13.125" style="146" customWidth="1"/>
    <col min="6384" max="6384" width="10.125" style="146"/>
    <col min="6385" max="6398" width="0" style="146" hidden="1" customWidth="1"/>
    <col min="6399" max="6632" width="10.125" style="146"/>
    <col min="6633" max="6633" width="1" style="146" customWidth="1"/>
    <col min="6634" max="6634" width="5.5" style="146" customWidth="1"/>
    <col min="6635" max="6635" width="33" style="146" customWidth="1"/>
    <col min="6636" max="6636" width="6.75" style="146" bestFit="1" customWidth="1"/>
    <col min="6637" max="6637" width="8.875" style="146" customWidth="1"/>
    <col min="6638" max="6638" width="10.5" style="146" customWidth="1"/>
    <col min="6639" max="6639" width="13.125" style="146" customWidth="1"/>
    <col min="6640" max="6640" width="10.125" style="146"/>
    <col min="6641" max="6654" width="0" style="146" hidden="1" customWidth="1"/>
    <col min="6655" max="6888" width="10.125" style="146"/>
    <col min="6889" max="6889" width="1" style="146" customWidth="1"/>
    <col min="6890" max="6890" width="5.5" style="146" customWidth="1"/>
    <col min="6891" max="6891" width="33" style="146" customWidth="1"/>
    <col min="6892" max="6892" width="6.75" style="146" bestFit="1" customWidth="1"/>
    <col min="6893" max="6893" width="8.875" style="146" customWidth="1"/>
    <col min="6894" max="6894" width="10.5" style="146" customWidth="1"/>
    <col min="6895" max="6895" width="13.125" style="146" customWidth="1"/>
    <col min="6896" max="6896" width="10.125" style="146"/>
    <col min="6897" max="6910" width="0" style="146" hidden="1" customWidth="1"/>
    <col min="6911" max="7144" width="10.125" style="146"/>
    <col min="7145" max="7145" width="1" style="146" customWidth="1"/>
    <col min="7146" max="7146" width="5.5" style="146" customWidth="1"/>
    <col min="7147" max="7147" width="33" style="146" customWidth="1"/>
    <col min="7148" max="7148" width="6.75" style="146" bestFit="1" customWidth="1"/>
    <col min="7149" max="7149" width="8.875" style="146" customWidth="1"/>
    <col min="7150" max="7150" width="10.5" style="146" customWidth="1"/>
    <col min="7151" max="7151" width="13.125" style="146" customWidth="1"/>
    <col min="7152" max="7152" width="10.125" style="146"/>
    <col min="7153" max="7166" width="0" style="146" hidden="1" customWidth="1"/>
    <col min="7167" max="7400" width="10.125" style="146"/>
    <col min="7401" max="7401" width="1" style="146" customWidth="1"/>
    <col min="7402" max="7402" width="5.5" style="146" customWidth="1"/>
    <col min="7403" max="7403" width="33" style="146" customWidth="1"/>
    <col min="7404" max="7404" width="6.75" style="146" bestFit="1" customWidth="1"/>
    <col min="7405" max="7405" width="8.875" style="146" customWidth="1"/>
    <col min="7406" max="7406" width="10.5" style="146" customWidth="1"/>
    <col min="7407" max="7407" width="13.125" style="146" customWidth="1"/>
    <col min="7408" max="7408" width="10.125" style="146"/>
    <col min="7409" max="7422" width="0" style="146" hidden="1" customWidth="1"/>
    <col min="7423" max="7656" width="10.125" style="146"/>
    <col min="7657" max="7657" width="1" style="146" customWidth="1"/>
    <col min="7658" max="7658" width="5.5" style="146" customWidth="1"/>
    <col min="7659" max="7659" width="33" style="146" customWidth="1"/>
    <col min="7660" max="7660" width="6.75" style="146" bestFit="1" customWidth="1"/>
    <col min="7661" max="7661" width="8.875" style="146" customWidth="1"/>
    <col min="7662" max="7662" width="10.5" style="146" customWidth="1"/>
    <col min="7663" max="7663" width="13.125" style="146" customWidth="1"/>
    <col min="7664" max="7664" width="10.125" style="146"/>
    <col min="7665" max="7678" width="0" style="146" hidden="1" customWidth="1"/>
    <col min="7679" max="7912" width="10.125" style="146"/>
    <col min="7913" max="7913" width="1" style="146" customWidth="1"/>
    <col min="7914" max="7914" width="5.5" style="146" customWidth="1"/>
    <col min="7915" max="7915" width="33" style="146" customWidth="1"/>
    <col min="7916" max="7916" width="6.75" style="146" bestFit="1" customWidth="1"/>
    <col min="7917" max="7917" width="8.875" style="146" customWidth="1"/>
    <col min="7918" max="7918" width="10.5" style="146" customWidth="1"/>
    <col min="7919" max="7919" width="13.125" style="146" customWidth="1"/>
    <col min="7920" max="7920" width="10.125" style="146"/>
    <col min="7921" max="7934" width="0" style="146" hidden="1" customWidth="1"/>
    <col min="7935" max="8168" width="10.125" style="146"/>
    <col min="8169" max="8169" width="1" style="146" customWidth="1"/>
    <col min="8170" max="8170" width="5.5" style="146" customWidth="1"/>
    <col min="8171" max="8171" width="33" style="146" customWidth="1"/>
    <col min="8172" max="8172" width="6.75" style="146" bestFit="1" customWidth="1"/>
    <col min="8173" max="8173" width="8.875" style="146" customWidth="1"/>
    <col min="8174" max="8174" width="10.5" style="146" customWidth="1"/>
    <col min="8175" max="8175" width="13.125" style="146" customWidth="1"/>
    <col min="8176" max="8176" width="10.125" style="146"/>
    <col min="8177" max="8190" width="0" style="146" hidden="1" customWidth="1"/>
    <col min="8191" max="8424" width="10.125" style="146"/>
    <col min="8425" max="8425" width="1" style="146" customWidth="1"/>
    <col min="8426" max="8426" width="5.5" style="146" customWidth="1"/>
    <col min="8427" max="8427" width="33" style="146" customWidth="1"/>
    <col min="8428" max="8428" width="6.75" style="146" bestFit="1" customWidth="1"/>
    <col min="8429" max="8429" width="8.875" style="146" customWidth="1"/>
    <col min="8430" max="8430" width="10.5" style="146" customWidth="1"/>
    <col min="8431" max="8431" width="13.125" style="146" customWidth="1"/>
    <col min="8432" max="8432" width="10.125" style="146"/>
    <col min="8433" max="8446" width="0" style="146" hidden="1" customWidth="1"/>
    <col min="8447" max="8680" width="10.125" style="146"/>
    <col min="8681" max="8681" width="1" style="146" customWidth="1"/>
    <col min="8682" max="8682" width="5.5" style="146" customWidth="1"/>
    <col min="8683" max="8683" width="33" style="146" customWidth="1"/>
    <col min="8684" max="8684" width="6.75" style="146" bestFit="1" customWidth="1"/>
    <col min="8685" max="8685" width="8.875" style="146" customWidth="1"/>
    <col min="8686" max="8686" width="10.5" style="146" customWidth="1"/>
    <col min="8687" max="8687" width="13.125" style="146" customWidth="1"/>
    <col min="8688" max="8688" width="10.125" style="146"/>
    <col min="8689" max="8702" width="0" style="146" hidden="1" customWidth="1"/>
    <col min="8703" max="8936" width="10.125" style="146"/>
    <col min="8937" max="8937" width="1" style="146" customWidth="1"/>
    <col min="8938" max="8938" width="5.5" style="146" customWidth="1"/>
    <col min="8939" max="8939" width="33" style="146" customWidth="1"/>
    <col min="8940" max="8940" width="6.75" style="146" bestFit="1" customWidth="1"/>
    <col min="8941" max="8941" width="8.875" style="146" customWidth="1"/>
    <col min="8942" max="8942" width="10.5" style="146" customWidth="1"/>
    <col min="8943" max="8943" width="13.125" style="146" customWidth="1"/>
    <col min="8944" max="8944" width="10.125" style="146"/>
    <col min="8945" max="8958" width="0" style="146" hidden="1" customWidth="1"/>
    <col min="8959" max="9192" width="10.125" style="146"/>
    <col min="9193" max="9193" width="1" style="146" customWidth="1"/>
    <col min="9194" max="9194" width="5.5" style="146" customWidth="1"/>
    <col min="9195" max="9195" width="33" style="146" customWidth="1"/>
    <col min="9196" max="9196" width="6.75" style="146" bestFit="1" customWidth="1"/>
    <col min="9197" max="9197" width="8.875" style="146" customWidth="1"/>
    <col min="9198" max="9198" width="10.5" style="146" customWidth="1"/>
    <col min="9199" max="9199" width="13.125" style="146" customWidth="1"/>
    <col min="9200" max="9200" width="10.125" style="146"/>
    <col min="9201" max="9214" width="0" style="146" hidden="1" customWidth="1"/>
    <col min="9215" max="9448" width="10.125" style="146"/>
    <col min="9449" max="9449" width="1" style="146" customWidth="1"/>
    <col min="9450" max="9450" width="5.5" style="146" customWidth="1"/>
    <col min="9451" max="9451" width="33" style="146" customWidth="1"/>
    <col min="9452" max="9452" width="6.75" style="146" bestFit="1" customWidth="1"/>
    <col min="9453" max="9453" width="8.875" style="146" customWidth="1"/>
    <col min="9454" max="9454" width="10.5" style="146" customWidth="1"/>
    <col min="9455" max="9455" width="13.125" style="146" customWidth="1"/>
    <col min="9456" max="9456" width="10.125" style="146"/>
    <col min="9457" max="9470" width="0" style="146" hidden="1" customWidth="1"/>
    <col min="9471" max="9704" width="10.125" style="146"/>
    <col min="9705" max="9705" width="1" style="146" customWidth="1"/>
    <col min="9706" max="9706" width="5.5" style="146" customWidth="1"/>
    <col min="9707" max="9707" width="33" style="146" customWidth="1"/>
    <col min="9708" max="9708" width="6.75" style="146" bestFit="1" customWidth="1"/>
    <col min="9709" max="9709" width="8.875" style="146" customWidth="1"/>
    <col min="9710" max="9710" width="10.5" style="146" customWidth="1"/>
    <col min="9711" max="9711" width="13.125" style="146" customWidth="1"/>
    <col min="9712" max="9712" width="10.125" style="146"/>
    <col min="9713" max="9726" width="0" style="146" hidden="1" customWidth="1"/>
    <col min="9727" max="9960" width="10.125" style="146"/>
    <col min="9961" max="9961" width="1" style="146" customWidth="1"/>
    <col min="9962" max="9962" width="5.5" style="146" customWidth="1"/>
    <col min="9963" max="9963" width="33" style="146" customWidth="1"/>
    <col min="9964" max="9964" width="6.75" style="146" bestFit="1" customWidth="1"/>
    <col min="9965" max="9965" width="8.875" style="146" customWidth="1"/>
    <col min="9966" max="9966" width="10.5" style="146" customWidth="1"/>
    <col min="9967" max="9967" width="13.125" style="146" customWidth="1"/>
    <col min="9968" max="9968" width="10.125" style="146"/>
    <col min="9969" max="9982" width="0" style="146" hidden="1" customWidth="1"/>
    <col min="9983" max="10216" width="10.125" style="146"/>
    <col min="10217" max="10217" width="1" style="146" customWidth="1"/>
    <col min="10218" max="10218" width="5.5" style="146" customWidth="1"/>
    <col min="10219" max="10219" width="33" style="146" customWidth="1"/>
    <col min="10220" max="10220" width="6.75" style="146" bestFit="1" customWidth="1"/>
    <col min="10221" max="10221" width="8.875" style="146" customWidth="1"/>
    <col min="10222" max="10222" width="10.5" style="146" customWidth="1"/>
    <col min="10223" max="10223" width="13.125" style="146" customWidth="1"/>
    <col min="10224" max="10224" width="10.125" style="146"/>
    <col min="10225" max="10238" width="0" style="146" hidden="1" customWidth="1"/>
    <col min="10239" max="10472" width="10.125" style="146"/>
    <col min="10473" max="10473" width="1" style="146" customWidth="1"/>
    <col min="10474" max="10474" width="5.5" style="146" customWidth="1"/>
    <col min="10475" max="10475" width="33" style="146" customWidth="1"/>
    <col min="10476" max="10476" width="6.75" style="146" bestFit="1" customWidth="1"/>
    <col min="10477" max="10477" width="8.875" style="146" customWidth="1"/>
    <col min="10478" max="10478" width="10.5" style="146" customWidth="1"/>
    <col min="10479" max="10479" width="13.125" style="146" customWidth="1"/>
    <col min="10480" max="10480" width="10.125" style="146"/>
    <col min="10481" max="10494" width="0" style="146" hidden="1" customWidth="1"/>
    <col min="10495" max="10728" width="10.125" style="146"/>
    <col min="10729" max="10729" width="1" style="146" customWidth="1"/>
    <col min="10730" max="10730" width="5.5" style="146" customWidth="1"/>
    <col min="10731" max="10731" width="33" style="146" customWidth="1"/>
    <col min="10732" max="10732" width="6.75" style="146" bestFit="1" customWidth="1"/>
    <col min="10733" max="10733" width="8.875" style="146" customWidth="1"/>
    <col min="10734" max="10734" width="10.5" style="146" customWidth="1"/>
    <col min="10735" max="10735" width="13.125" style="146" customWidth="1"/>
    <col min="10736" max="10736" width="10.125" style="146"/>
    <col min="10737" max="10750" width="0" style="146" hidden="1" customWidth="1"/>
    <col min="10751" max="10984" width="10.125" style="146"/>
    <col min="10985" max="10985" width="1" style="146" customWidth="1"/>
    <col min="10986" max="10986" width="5.5" style="146" customWidth="1"/>
    <col min="10987" max="10987" width="33" style="146" customWidth="1"/>
    <col min="10988" max="10988" width="6.75" style="146" bestFit="1" customWidth="1"/>
    <col min="10989" max="10989" width="8.875" style="146" customWidth="1"/>
    <col min="10990" max="10990" width="10.5" style="146" customWidth="1"/>
    <col min="10991" max="10991" width="13.125" style="146" customWidth="1"/>
    <col min="10992" max="10992" width="10.125" style="146"/>
    <col min="10993" max="11006" width="0" style="146" hidden="1" customWidth="1"/>
    <col min="11007" max="11240" width="10.125" style="146"/>
    <col min="11241" max="11241" width="1" style="146" customWidth="1"/>
    <col min="11242" max="11242" width="5.5" style="146" customWidth="1"/>
    <col min="11243" max="11243" width="33" style="146" customWidth="1"/>
    <col min="11244" max="11244" width="6.75" style="146" bestFit="1" customWidth="1"/>
    <col min="11245" max="11245" width="8.875" style="146" customWidth="1"/>
    <col min="11246" max="11246" width="10.5" style="146" customWidth="1"/>
    <col min="11247" max="11247" width="13.125" style="146" customWidth="1"/>
    <col min="11248" max="11248" width="10.125" style="146"/>
    <col min="11249" max="11262" width="0" style="146" hidden="1" customWidth="1"/>
    <col min="11263" max="11496" width="10.125" style="146"/>
    <col min="11497" max="11497" width="1" style="146" customWidth="1"/>
    <col min="11498" max="11498" width="5.5" style="146" customWidth="1"/>
    <col min="11499" max="11499" width="33" style="146" customWidth="1"/>
    <col min="11500" max="11500" width="6.75" style="146" bestFit="1" customWidth="1"/>
    <col min="11501" max="11501" width="8.875" style="146" customWidth="1"/>
    <col min="11502" max="11502" width="10.5" style="146" customWidth="1"/>
    <col min="11503" max="11503" width="13.125" style="146" customWidth="1"/>
    <col min="11504" max="11504" width="10.125" style="146"/>
    <col min="11505" max="11518" width="0" style="146" hidden="1" customWidth="1"/>
    <col min="11519" max="11752" width="10.125" style="146"/>
    <col min="11753" max="11753" width="1" style="146" customWidth="1"/>
    <col min="11754" max="11754" width="5.5" style="146" customWidth="1"/>
    <col min="11755" max="11755" width="33" style="146" customWidth="1"/>
    <col min="11756" max="11756" width="6.75" style="146" bestFit="1" customWidth="1"/>
    <col min="11757" max="11757" width="8.875" style="146" customWidth="1"/>
    <col min="11758" max="11758" width="10.5" style="146" customWidth="1"/>
    <col min="11759" max="11759" width="13.125" style="146" customWidth="1"/>
    <col min="11760" max="11760" width="10.125" style="146"/>
    <col min="11761" max="11774" width="0" style="146" hidden="1" customWidth="1"/>
    <col min="11775" max="12008" width="10.125" style="146"/>
    <col min="12009" max="12009" width="1" style="146" customWidth="1"/>
    <col min="12010" max="12010" width="5.5" style="146" customWidth="1"/>
    <col min="12011" max="12011" width="33" style="146" customWidth="1"/>
    <col min="12012" max="12012" width="6.75" style="146" bestFit="1" customWidth="1"/>
    <col min="12013" max="12013" width="8.875" style="146" customWidth="1"/>
    <col min="12014" max="12014" width="10.5" style="146" customWidth="1"/>
    <col min="12015" max="12015" width="13.125" style="146" customWidth="1"/>
    <col min="12016" max="12016" width="10.125" style="146"/>
    <col min="12017" max="12030" width="0" style="146" hidden="1" customWidth="1"/>
    <col min="12031" max="12264" width="10.125" style="146"/>
    <col min="12265" max="12265" width="1" style="146" customWidth="1"/>
    <col min="12266" max="12266" width="5.5" style="146" customWidth="1"/>
    <col min="12267" max="12267" width="33" style="146" customWidth="1"/>
    <col min="12268" max="12268" width="6.75" style="146" bestFit="1" customWidth="1"/>
    <col min="12269" max="12269" width="8.875" style="146" customWidth="1"/>
    <col min="12270" max="12270" width="10.5" style="146" customWidth="1"/>
    <col min="12271" max="12271" width="13.125" style="146" customWidth="1"/>
    <col min="12272" max="12272" width="10.125" style="146"/>
    <col min="12273" max="12286" width="0" style="146" hidden="1" customWidth="1"/>
    <col min="12287" max="12520" width="10.125" style="146"/>
    <col min="12521" max="12521" width="1" style="146" customWidth="1"/>
    <col min="12522" max="12522" width="5.5" style="146" customWidth="1"/>
    <col min="12523" max="12523" width="33" style="146" customWidth="1"/>
    <col min="12524" max="12524" width="6.75" style="146" bestFit="1" customWidth="1"/>
    <col min="12525" max="12525" width="8.875" style="146" customWidth="1"/>
    <col min="12526" max="12526" width="10.5" style="146" customWidth="1"/>
    <col min="12527" max="12527" width="13.125" style="146" customWidth="1"/>
    <col min="12528" max="12528" width="10.125" style="146"/>
    <col min="12529" max="12542" width="0" style="146" hidden="1" customWidth="1"/>
    <col min="12543" max="12776" width="10.125" style="146"/>
    <col min="12777" max="12777" width="1" style="146" customWidth="1"/>
    <col min="12778" max="12778" width="5.5" style="146" customWidth="1"/>
    <col min="12779" max="12779" width="33" style="146" customWidth="1"/>
    <col min="12780" max="12780" width="6.75" style="146" bestFit="1" customWidth="1"/>
    <col min="12781" max="12781" width="8.875" style="146" customWidth="1"/>
    <col min="12782" max="12782" width="10.5" style="146" customWidth="1"/>
    <col min="12783" max="12783" width="13.125" style="146" customWidth="1"/>
    <col min="12784" max="12784" width="10.125" style="146"/>
    <col min="12785" max="12798" width="0" style="146" hidden="1" customWidth="1"/>
    <col min="12799" max="13032" width="10.125" style="146"/>
    <col min="13033" max="13033" width="1" style="146" customWidth="1"/>
    <col min="13034" max="13034" width="5.5" style="146" customWidth="1"/>
    <col min="13035" max="13035" width="33" style="146" customWidth="1"/>
    <col min="13036" max="13036" width="6.75" style="146" bestFit="1" customWidth="1"/>
    <col min="13037" max="13037" width="8.875" style="146" customWidth="1"/>
    <col min="13038" max="13038" width="10.5" style="146" customWidth="1"/>
    <col min="13039" max="13039" width="13.125" style="146" customWidth="1"/>
    <col min="13040" max="13040" width="10.125" style="146"/>
    <col min="13041" max="13054" width="0" style="146" hidden="1" customWidth="1"/>
    <col min="13055" max="13288" width="10.125" style="146"/>
    <col min="13289" max="13289" width="1" style="146" customWidth="1"/>
    <col min="13290" max="13290" width="5.5" style="146" customWidth="1"/>
    <col min="13291" max="13291" width="33" style="146" customWidth="1"/>
    <col min="13292" max="13292" width="6.75" style="146" bestFit="1" customWidth="1"/>
    <col min="13293" max="13293" width="8.875" style="146" customWidth="1"/>
    <col min="13294" max="13294" width="10.5" style="146" customWidth="1"/>
    <col min="13295" max="13295" width="13.125" style="146" customWidth="1"/>
    <col min="13296" max="13296" width="10.125" style="146"/>
    <col min="13297" max="13310" width="0" style="146" hidden="1" customWidth="1"/>
    <col min="13311" max="13544" width="10.125" style="146"/>
    <col min="13545" max="13545" width="1" style="146" customWidth="1"/>
    <col min="13546" max="13546" width="5.5" style="146" customWidth="1"/>
    <col min="13547" max="13547" width="33" style="146" customWidth="1"/>
    <col min="13548" max="13548" width="6.75" style="146" bestFit="1" customWidth="1"/>
    <col min="13549" max="13549" width="8.875" style="146" customWidth="1"/>
    <col min="13550" max="13550" width="10.5" style="146" customWidth="1"/>
    <col min="13551" max="13551" width="13.125" style="146" customWidth="1"/>
    <col min="13552" max="13552" width="10.125" style="146"/>
    <col min="13553" max="13566" width="0" style="146" hidden="1" customWidth="1"/>
    <col min="13567" max="13800" width="10.125" style="146"/>
    <col min="13801" max="13801" width="1" style="146" customWidth="1"/>
    <col min="13802" max="13802" width="5.5" style="146" customWidth="1"/>
    <col min="13803" max="13803" width="33" style="146" customWidth="1"/>
    <col min="13804" max="13804" width="6.75" style="146" bestFit="1" customWidth="1"/>
    <col min="13805" max="13805" width="8.875" style="146" customWidth="1"/>
    <col min="13806" max="13806" width="10.5" style="146" customWidth="1"/>
    <col min="13807" max="13807" width="13.125" style="146" customWidth="1"/>
    <col min="13808" max="13808" width="10.125" style="146"/>
    <col min="13809" max="13822" width="0" style="146" hidden="1" customWidth="1"/>
    <col min="13823" max="14056" width="10.125" style="146"/>
    <col min="14057" max="14057" width="1" style="146" customWidth="1"/>
    <col min="14058" max="14058" width="5.5" style="146" customWidth="1"/>
    <col min="14059" max="14059" width="33" style="146" customWidth="1"/>
    <col min="14060" max="14060" width="6.75" style="146" bestFit="1" customWidth="1"/>
    <col min="14061" max="14061" width="8.875" style="146" customWidth="1"/>
    <col min="14062" max="14062" width="10.5" style="146" customWidth="1"/>
    <col min="14063" max="14063" width="13.125" style="146" customWidth="1"/>
    <col min="14064" max="14064" width="10.125" style="146"/>
    <col min="14065" max="14078" width="0" style="146" hidden="1" customWidth="1"/>
    <col min="14079" max="14312" width="10.125" style="146"/>
    <col min="14313" max="14313" width="1" style="146" customWidth="1"/>
    <col min="14314" max="14314" width="5.5" style="146" customWidth="1"/>
    <col min="14315" max="14315" width="33" style="146" customWidth="1"/>
    <col min="14316" max="14316" width="6.75" style="146" bestFit="1" customWidth="1"/>
    <col min="14317" max="14317" width="8.875" style="146" customWidth="1"/>
    <col min="14318" max="14318" width="10.5" style="146" customWidth="1"/>
    <col min="14319" max="14319" width="13.125" style="146" customWidth="1"/>
    <col min="14320" max="14320" width="10.125" style="146"/>
    <col min="14321" max="14334" width="0" style="146" hidden="1" customWidth="1"/>
    <col min="14335" max="14568" width="10.125" style="146"/>
    <col min="14569" max="14569" width="1" style="146" customWidth="1"/>
    <col min="14570" max="14570" width="5.5" style="146" customWidth="1"/>
    <col min="14571" max="14571" width="33" style="146" customWidth="1"/>
    <col min="14572" max="14572" width="6.75" style="146" bestFit="1" customWidth="1"/>
    <col min="14573" max="14573" width="8.875" style="146" customWidth="1"/>
    <col min="14574" max="14574" width="10.5" style="146" customWidth="1"/>
    <col min="14575" max="14575" width="13.125" style="146" customWidth="1"/>
    <col min="14576" max="14576" width="10.125" style="146"/>
    <col min="14577" max="14590" width="0" style="146" hidden="1" customWidth="1"/>
    <col min="14591" max="14824" width="10.125" style="146"/>
    <col min="14825" max="14825" width="1" style="146" customWidth="1"/>
    <col min="14826" max="14826" width="5.5" style="146" customWidth="1"/>
    <col min="14827" max="14827" width="33" style="146" customWidth="1"/>
    <col min="14828" max="14828" width="6.75" style="146" bestFit="1" customWidth="1"/>
    <col min="14829" max="14829" width="8.875" style="146" customWidth="1"/>
    <col min="14830" max="14830" width="10.5" style="146" customWidth="1"/>
    <col min="14831" max="14831" width="13.125" style="146" customWidth="1"/>
    <col min="14832" max="14832" width="10.125" style="146"/>
    <col min="14833" max="14846" width="0" style="146" hidden="1" customWidth="1"/>
    <col min="14847" max="15080" width="10.125" style="146"/>
    <col min="15081" max="15081" width="1" style="146" customWidth="1"/>
    <col min="15082" max="15082" width="5.5" style="146" customWidth="1"/>
    <col min="15083" max="15083" width="33" style="146" customWidth="1"/>
    <col min="15084" max="15084" width="6.75" style="146" bestFit="1" customWidth="1"/>
    <col min="15085" max="15085" width="8.875" style="146" customWidth="1"/>
    <col min="15086" max="15086" width="10.5" style="146" customWidth="1"/>
    <col min="15087" max="15087" width="13.125" style="146" customWidth="1"/>
    <col min="15088" max="15088" width="10.125" style="146"/>
    <col min="15089" max="15102" width="0" style="146" hidden="1" customWidth="1"/>
    <col min="15103" max="15336" width="10.125" style="146"/>
    <col min="15337" max="15337" width="1" style="146" customWidth="1"/>
    <col min="15338" max="15338" width="5.5" style="146" customWidth="1"/>
    <col min="15339" max="15339" width="33" style="146" customWidth="1"/>
    <col min="15340" max="15340" width="6.75" style="146" bestFit="1" customWidth="1"/>
    <col min="15341" max="15341" width="8.875" style="146" customWidth="1"/>
    <col min="15342" max="15342" width="10.5" style="146" customWidth="1"/>
    <col min="15343" max="15343" width="13.125" style="146" customWidth="1"/>
    <col min="15344" max="15344" width="10.125" style="146"/>
    <col min="15345" max="15358" width="0" style="146" hidden="1" customWidth="1"/>
    <col min="15359" max="15592" width="10.125" style="146"/>
    <col min="15593" max="15593" width="1" style="146" customWidth="1"/>
    <col min="15594" max="15594" width="5.5" style="146" customWidth="1"/>
    <col min="15595" max="15595" width="33" style="146" customWidth="1"/>
    <col min="15596" max="15596" width="6.75" style="146" bestFit="1" customWidth="1"/>
    <col min="15597" max="15597" width="8.875" style="146" customWidth="1"/>
    <col min="15598" max="15598" width="10.5" style="146" customWidth="1"/>
    <col min="15599" max="15599" width="13.125" style="146" customWidth="1"/>
    <col min="15600" max="15600" width="10.125" style="146"/>
    <col min="15601" max="15614" width="0" style="146" hidden="1" customWidth="1"/>
    <col min="15615" max="15848" width="10.125" style="146"/>
    <col min="15849" max="15849" width="1" style="146" customWidth="1"/>
    <col min="15850" max="15850" width="5.5" style="146" customWidth="1"/>
    <col min="15851" max="15851" width="33" style="146" customWidth="1"/>
    <col min="15852" max="15852" width="6.75" style="146" bestFit="1" customWidth="1"/>
    <col min="15853" max="15853" width="8.875" style="146" customWidth="1"/>
    <col min="15854" max="15854" width="10.5" style="146" customWidth="1"/>
    <col min="15855" max="15855" width="13.125" style="146" customWidth="1"/>
    <col min="15856" max="15856" width="10.125" style="146"/>
    <col min="15857" max="15870" width="0" style="146" hidden="1" customWidth="1"/>
    <col min="15871" max="16104" width="10.125" style="146"/>
    <col min="16105" max="16105" width="1" style="146" customWidth="1"/>
    <col min="16106" max="16106" width="5.5" style="146" customWidth="1"/>
    <col min="16107" max="16107" width="33" style="146" customWidth="1"/>
    <col min="16108" max="16108" width="6.75" style="146" bestFit="1" customWidth="1"/>
    <col min="16109" max="16109" width="8.875" style="146" customWidth="1"/>
    <col min="16110" max="16110" width="10.5" style="146" customWidth="1"/>
    <col min="16111" max="16111" width="13.125" style="146" customWidth="1"/>
    <col min="16112" max="16112" width="10.125" style="146"/>
    <col min="16113" max="16126" width="0" style="146" hidden="1" customWidth="1"/>
    <col min="16127" max="16384" width="10.125" style="146"/>
  </cols>
  <sheetData>
    <row r="1" spans="1:37" ht="31.7" customHeight="1" x14ac:dyDescent="0.25">
      <c r="B1" s="22"/>
      <c r="C1" s="582"/>
      <c r="D1" s="808" t="str">
        <f>Startmenue!G2</f>
        <v>Version 1.2</v>
      </c>
      <c r="E1" s="146"/>
      <c r="F1" s="146"/>
      <c r="H1" s="146"/>
      <c r="I1" s="146"/>
      <c r="J1" s="146"/>
      <c r="K1" s="146"/>
      <c r="L1" s="146"/>
      <c r="M1" s="146"/>
      <c r="N1" s="146"/>
      <c r="O1" s="146"/>
      <c r="P1" s="146"/>
      <c r="U1" s="576"/>
      <c r="Z1" s="595"/>
      <c r="AE1" s="576"/>
      <c r="AJ1" s="576"/>
      <c r="AK1" s="597"/>
    </row>
    <row r="2" spans="1:37" s="657" customFormat="1" ht="2.85" customHeight="1" x14ac:dyDescent="0.2">
      <c r="C2" s="680">
        <f>COLUMNS($C$2:C2)</f>
        <v>1</v>
      </c>
      <c r="D2" s="680">
        <f>COLUMNS($C$2:D2)</f>
        <v>2</v>
      </c>
      <c r="E2" s="680">
        <f>COLUMNS($C$2:E2)</f>
        <v>3</v>
      </c>
      <c r="F2" s="680">
        <f>COLUMNS($C$2:F2)</f>
        <v>4</v>
      </c>
      <c r="G2" s="680">
        <f>COLUMNS($C$2:G2)</f>
        <v>5</v>
      </c>
      <c r="H2" s="680">
        <f>COLUMNS($C$2:H2)</f>
        <v>6</v>
      </c>
      <c r="I2" s="680">
        <f>COLUMNS($C$2:I2)</f>
        <v>7</v>
      </c>
      <c r="J2" s="680">
        <f>COLUMNS($C$2:J2)</f>
        <v>8</v>
      </c>
      <c r="K2" s="680">
        <f>COLUMNS($C$2:K2)</f>
        <v>9</v>
      </c>
      <c r="L2" s="680">
        <f>COLUMNS($C$2:L2)</f>
        <v>10</v>
      </c>
      <c r="M2" s="680">
        <f>COLUMNS($C$2:M2)</f>
        <v>11</v>
      </c>
      <c r="N2" s="680">
        <f>COLUMNS($C$2:N2)</f>
        <v>12</v>
      </c>
      <c r="O2" s="680">
        <f>COLUMNS($C$2:O2)</f>
        <v>13</v>
      </c>
      <c r="P2" s="680">
        <f>COLUMNS($C$2:P2)</f>
        <v>14</v>
      </c>
    </row>
    <row r="3" spans="1:37" ht="14.25" customHeight="1" x14ac:dyDescent="0.2">
      <c r="B3" s="22" t="s">
        <v>4368</v>
      </c>
      <c r="C3" s="676"/>
      <c r="D3" s="22"/>
      <c r="E3" s="146" t="s">
        <v>4404</v>
      </c>
      <c r="F3" s="146"/>
      <c r="G3" s="146"/>
      <c r="H3" s="146"/>
      <c r="I3" s="146"/>
      <c r="J3" s="146"/>
      <c r="K3" s="22"/>
      <c r="L3" s="22"/>
      <c r="M3" s="22"/>
      <c r="N3" s="22"/>
      <c r="O3" s="584"/>
      <c r="P3" s="584"/>
    </row>
    <row r="4" spans="1:37" s="489" customFormat="1" ht="14.25" customHeight="1" x14ac:dyDescent="0.2">
      <c r="B4" s="481" t="s">
        <v>4369</v>
      </c>
      <c r="C4" s="675"/>
      <c r="D4" s="424"/>
      <c r="E4" s="489" t="s">
        <v>4582</v>
      </c>
      <c r="K4" s="424"/>
      <c r="L4" s="424"/>
      <c r="M4" s="59"/>
      <c r="N4" s="424"/>
      <c r="O4" s="1075"/>
      <c r="P4" s="1075"/>
    </row>
    <row r="5" spans="1:37" ht="14.25" customHeight="1" x14ac:dyDescent="0.25">
      <c r="B5" s="688"/>
      <c r="C5" s="676"/>
      <c r="D5" s="22"/>
      <c r="E5" s="146" t="s">
        <v>4583</v>
      </c>
      <c r="F5" s="146"/>
      <c r="G5" s="146"/>
      <c r="H5" s="146"/>
      <c r="I5" s="146"/>
      <c r="J5" s="146"/>
      <c r="K5" s="22"/>
      <c r="L5" s="22"/>
      <c r="M5" s="22"/>
      <c r="N5" s="22"/>
      <c r="O5" s="584"/>
      <c r="P5" s="584"/>
    </row>
    <row r="6" spans="1:37" ht="15" x14ac:dyDescent="0.25">
      <c r="B6" s="688"/>
      <c r="C6" s="676"/>
      <c r="D6" s="22"/>
      <c r="E6" s="146" t="s">
        <v>4584</v>
      </c>
      <c r="F6" s="146"/>
      <c r="G6" s="146"/>
      <c r="H6" s="146"/>
      <c r="I6" s="146"/>
      <c r="J6" s="146"/>
      <c r="K6" s="22"/>
      <c r="L6" s="22"/>
      <c r="M6" s="22"/>
      <c r="N6" s="22"/>
      <c r="O6" s="584"/>
      <c r="P6" s="584"/>
    </row>
    <row r="7" spans="1:37" ht="15" x14ac:dyDescent="0.25">
      <c r="B7" s="688"/>
      <c r="C7" s="676"/>
      <c r="D7" s="22"/>
      <c r="E7" s="146" t="s">
        <v>4585</v>
      </c>
      <c r="F7" s="146"/>
      <c r="G7" s="146"/>
      <c r="H7" s="146"/>
      <c r="I7" s="146"/>
      <c r="J7" s="146"/>
      <c r="K7" s="22"/>
      <c r="L7" s="22"/>
      <c r="M7" s="22"/>
      <c r="N7" s="22"/>
      <c r="O7" s="584"/>
      <c r="P7" s="584"/>
    </row>
    <row r="8" spans="1:37" ht="15" x14ac:dyDescent="0.25">
      <c r="B8" s="688"/>
      <c r="C8" s="676"/>
      <c r="D8" s="22"/>
      <c r="E8" s="146" t="s">
        <v>4586</v>
      </c>
      <c r="F8" s="146"/>
      <c r="G8" s="146"/>
      <c r="H8" s="146"/>
      <c r="I8" s="146"/>
      <c r="J8" s="146"/>
      <c r="K8" s="22"/>
      <c r="L8" s="22"/>
      <c r="M8" s="22"/>
      <c r="N8" s="22"/>
      <c r="O8" s="584"/>
      <c r="P8" s="584"/>
    </row>
    <row r="9" spans="1:37" ht="2.85" customHeight="1" x14ac:dyDescent="0.25">
      <c r="B9" s="688"/>
      <c r="C9" s="676"/>
      <c r="D9" s="22"/>
      <c r="E9" s="146"/>
      <c r="F9" s="146"/>
      <c r="G9" s="146"/>
      <c r="H9" s="146"/>
      <c r="I9" s="146"/>
      <c r="J9" s="146"/>
      <c r="K9" s="22"/>
      <c r="L9" s="22"/>
      <c r="M9" s="22"/>
      <c r="N9" s="22"/>
      <c r="O9" s="584"/>
      <c r="P9" s="584"/>
    </row>
    <row r="10" spans="1:37" ht="2.85" customHeight="1" x14ac:dyDescent="0.2">
      <c r="B10" s="23"/>
      <c r="C10" s="1084"/>
      <c r="D10" s="23"/>
      <c r="E10" s="660"/>
      <c r="F10" s="660"/>
      <c r="G10" s="660"/>
      <c r="H10" s="660"/>
      <c r="I10" s="660"/>
      <c r="J10" s="660"/>
      <c r="K10" s="23"/>
      <c r="L10" s="23"/>
      <c r="M10" s="23"/>
      <c r="N10" s="23"/>
      <c r="O10" s="864"/>
      <c r="P10" s="864"/>
      <c r="Q10" s="660"/>
    </row>
    <row r="11" spans="1:37" ht="2.85" customHeight="1" x14ac:dyDescent="0.2">
      <c r="A11" s="17"/>
      <c r="B11" s="839"/>
      <c r="C11" s="1085"/>
      <c r="D11" s="699"/>
      <c r="E11" s="836"/>
      <c r="F11" s="836"/>
      <c r="G11" s="836"/>
      <c r="H11" s="836"/>
      <c r="I11" s="836"/>
      <c r="J11" s="836"/>
      <c r="K11" s="699"/>
      <c r="L11" s="699"/>
      <c r="M11" s="699"/>
      <c r="N11" s="699"/>
      <c r="O11" s="882"/>
      <c r="P11" s="882"/>
      <c r="Q11" s="872"/>
      <c r="R11" s="28"/>
    </row>
    <row r="12" spans="1:37" s="574" customFormat="1" x14ac:dyDescent="0.2">
      <c r="A12" s="947"/>
      <c r="B12" s="1166"/>
      <c r="C12" s="955"/>
      <c r="D12" s="1167"/>
      <c r="E12" s="1168"/>
      <c r="F12" s="1169"/>
      <c r="G12" s="1170" t="s">
        <v>3591</v>
      </c>
      <c r="H12" s="1171"/>
      <c r="I12" s="1172" t="s">
        <v>4378</v>
      </c>
      <c r="J12" s="1173"/>
      <c r="K12" s="1174"/>
      <c r="L12" s="1174"/>
      <c r="M12" s="1175"/>
      <c r="N12" s="1176"/>
      <c r="O12" s="956"/>
      <c r="P12" s="956"/>
      <c r="Q12" s="1177"/>
      <c r="R12" s="951"/>
    </row>
    <row r="13" spans="1:37" s="574" customFormat="1" ht="0.75" customHeight="1" x14ac:dyDescent="0.2">
      <c r="A13" s="947"/>
      <c r="B13" s="1076"/>
      <c r="C13" s="1086"/>
      <c r="D13" s="929"/>
      <c r="E13" s="1110"/>
      <c r="F13" s="1114"/>
      <c r="G13" s="1114"/>
      <c r="H13" s="1112"/>
      <c r="I13" s="1178"/>
      <c r="J13" s="1114"/>
      <c r="K13" s="1114"/>
      <c r="L13" s="1114"/>
      <c r="M13" s="1111"/>
      <c r="N13" s="1077"/>
      <c r="O13" s="950"/>
      <c r="P13" s="950"/>
      <c r="Q13" s="1080"/>
      <c r="R13" s="951"/>
    </row>
    <row r="14" spans="1:37" s="574" customFormat="1" ht="0.75" customHeight="1" x14ac:dyDescent="0.2">
      <c r="A14" s="947"/>
      <c r="B14" s="1076"/>
      <c r="C14" s="1086"/>
      <c r="D14" s="929"/>
      <c r="E14" s="1179"/>
      <c r="F14" s="1114"/>
      <c r="G14" s="1180"/>
      <c r="H14" s="1112"/>
      <c r="I14" s="1178"/>
      <c r="J14" s="1114"/>
      <c r="K14" s="1114"/>
      <c r="L14" s="1114"/>
      <c r="M14" s="1111"/>
      <c r="N14" s="1077"/>
      <c r="O14" s="950"/>
      <c r="P14" s="950"/>
      <c r="Q14" s="1080"/>
      <c r="R14" s="951"/>
    </row>
    <row r="15" spans="1:37" s="574" customFormat="1" x14ac:dyDescent="0.2">
      <c r="A15" s="947"/>
      <c r="B15" s="1076"/>
      <c r="C15" s="1181"/>
      <c r="D15" s="929" t="s">
        <v>4074</v>
      </c>
      <c r="E15" s="1110" t="s">
        <v>3590</v>
      </c>
      <c r="F15" s="1111" t="s">
        <v>3590</v>
      </c>
      <c r="G15" s="1110" t="s">
        <v>3593</v>
      </c>
      <c r="H15" s="1112" t="s">
        <v>3593</v>
      </c>
      <c r="I15" s="1113" t="s">
        <v>3590</v>
      </c>
      <c r="J15" s="1112" t="s">
        <v>3590</v>
      </c>
      <c r="K15" s="1113" t="s">
        <v>3593</v>
      </c>
      <c r="L15" s="1114" t="s">
        <v>3593</v>
      </c>
      <c r="M15" s="1111"/>
      <c r="N15" s="1077"/>
      <c r="O15" s="950"/>
      <c r="P15" s="950"/>
      <c r="Q15" s="1080"/>
      <c r="R15" s="951"/>
    </row>
    <row r="16" spans="1:37" s="574" customFormat="1" ht="13.7" customHeight="1" x14ac:dyDescent="0.2">
      <c r="A16" s="947"/>
      <c r="B16" s="1076"/>
      <c r="C16" s="1086"/>
      <c r="D16" s="929" t="s">
        <v>3673</v>
      </c>
      <c r="E16" s="1110" t="s">
        <v>3594</v>
      </c>
      <c r="F16" s="1111" t="s">
        <v>3595</v>
      </c>
      <c r="G16" s="1110" t="s">
        <v>3594</v>
      </c>
      <c r="H16" s="1112" t="s">
        <v>3595</v>
      </c>
      <c r="I16" s="1113" t="s">
        <v>3594</v>
      </c>
      <c r="J16" s="1112" t="s">
        <v>3595</v>
      </c>
      <c r="K16" s="1113" t="s">
        <v>3594</v>
      </c>
      <c r="L16" s="1114" t="s">
        <v>3595</v>
      </c>
      <c r="M16" s="1111"/>
      <c r="N16" s="1077"/>
      <c r="O16" s="950"/>
      <c r="P16" s="950"/>
      <c r="Q16" s="1080"/>
      <c r="R16" s="951"/>
    </row>
    <row r="17" spans="1:18" ht="0.75" customHeight="1" x14ac:dyDescent="0.2">
      <c r="A17" s="17"/>
      <c r="B17" s="841"/>
      <c r="D17" s="876"/>
      <c r="E17" s="880"/>
      <c r="F17" s="884"/>
      <c r="G17" s="880"/>
      <c r="H17" s="875"/>
      <c r="I17" s="879"/>
      <c r="J17" s="875"/>
      <c r="K17" s="879"/>
      <c r="L17" s="597"/>
      <c r="M17" s="884"/>
      <c r="N17" s="834"/>
      <c r="Q17" s="871"/>
      <c r="R17" s="28"/>
    </row>
    <row r="18" spans="1:18" s="657" customFormat="1" ht="10.9" x14ac:dyDescent="0.2">
      <c r="A18" s="816"/>
      <c r="B18" s="813"/>
      <c r="D18" s="816" t="s">
        <v>3716</v>
      </c>
      <c r="E18" s="1093">
        <v>1</v>
      </c>
      <c r="F18" s="818">
        <v>1</v>
      </c>
      <c r="G18" s="1093">
        <v>2</v>
      </c>
      <c r="H18" s="1092">
        <v>2</v>
      </c>
      <c r="I18" s="1271">
        <v>1</v>
      </c>
      <c r="J18" s="1092">
        <v>1</v>
      </c>
      <c r="K18" s="1271">
        <v>2</v>
      </c>
      <c r="L18" s="680">
        <v>2</v>
      </c>
      <c r="M18" s="1082"/>
      <c r="N18" s="1081"/>
      <c r="O18" s="582"/>
      <c r="P18" s="582"/>
      <c r="Q18" s="815"/>
      <c r="R18" s="819"/>
    </row>
    <row r="19" spans="1:18" s="657" customFormat="1" ht="10.9" x14ac:dyDescent="0.2">
      <c r="A19" s="816"/>
      <c r="B19" s="813"/>
      <c r="D19" s="816" t="s">
        <v>3715</v>
      </c>
      <c r="E19" s="1093">
        <v>10</v>
      </c>
      <c r="F19" s="818">
        <v>20</v>
      </c>
      <c r="G19" s="1093">
        <v>10</v>
      </c>
      <c r="H19" s="1092">
        <v>20</v>
      </c>
      <c r="I19" s="1271">
        <v>10</v>
      </c>
      <c r="J19" s="1092">
        <v>20</v>
      </c>
      <c r="K19" s="1271">
        <v>10</v>
      </c>
      <c r="L19" s="680">
        <v>20</v>
      </c>
      <c r="M19" s="1082"/>
      <c r="N19" s="1081"/>
      <c r="O19" s="582"/>
      <c r="P19" s="582"/>
      <c r="Q19" s="815"/>
      <c r="R19" s="819"/>
    </row>
    <row r="20" spans="1:18" s="657" customFormat="1" ht="0.75" customHeight="1" x14ac:dyDescent="0.2">
      <c r="A20" s="816"/>
      <c r="B20" s="813"/>
      <c r="D20" s="816"/>
      <c r="E20" s="1093"/>
      <c r="F20" s="818"/>
      <c r="G20" s="1093"/>
      <c r="H20" s="1092"/>
      <c r="I20" s="1271"/>
      <c r="J20" s="1092"/>
      <c r="K20" s="1271"/>
      <c r="L20" s="680"/>
      <c r="M20" s="1082"/>
      <c r="N20" s="1081"/>
      <c r="O20" s="582"/>
      <c r="P20" s="582"/>
      <c r="Q20" s="815"/>
      <c r="R20" s="819"/>
    </row>
    <row r="21" spans="1:18" s="657" customFormat="1" ht="10.9" x14ac:dyDescent="0.2">
      <c r="A21" s="816"/>
      <c r="B21" s="813"/>
      <c r="C21" s="680" t="s">
        <v>3670</v>
      </c>
      <c r="D21" s="816" t="s">
        <v>3714</v>
      </c>
      <c r="E21" s="1093">
        <v>11</v>
      </c>
      <c r="F21" s="818">
        <v>21</v>
      </c>
      <c r="G21" s="1093">
        <v>12</v>
      </c>
      <c r="H21" s="1092">
        <v>22</v>
      </c>
      <c r="I21" s="1271">
        <v>11</v>
      </c>
      <c r="J21" s="1092">
        <v>21</v>
      </c>
      <c r="K21" s="1271">
        <v>12</v>
      </c>
      <c r="L21" s="680">
        <v>22</v>
      </c>
      <c r="M21" s="1082"/>
      <c r="N21" s="1081"/>
      <c r="O21" s="582"/>
      <c r="P21" s="582"/>
      <c r="Q21" s="815"/>
      <c r="R21" s="819"/>
    </row>
    <row r="22" spans="1:18" s="574" customFormat="1" ht="24" x14ac:dyDescent="0.2">
      <c r="A22" s="947"/>
      <c r="B22" s="1076"/>
      <c r="C22" s="1086"/>
      <c r="D22" s="929" t="s">
        <v>3724</v>
      </c>
      <c r="E22" s="1182" t="s">
        <v>30</v>
      </c>
      <c r="F22" s="1183" t="s">
        <v>30</v>
      </c>
      <c r="G22" s="1182" t="s">
        <v>30</v>
      </c>
      <c r="H22" s="1184" t="s">
        <v>30</v>
      </c>
      <c r="I22" s="1185" t="s">
        <v>30</v>
      </c>
      <c r="J22" s="1184" t="s">
        <v>30</v>
      </c>
      <c r="K22" s="1185" t="s">
        <v>30</v>
      </c>
      <c r="L22" s="1095" t="s">
        <v>30</v>
      </c>
      <c r="M22" s="1079"/>
      <c r="N22" s="1186" t="s">
        <v>3816</v>
      </c>
      <c r="O22" s="1187" t="s">
        <v>4599</v>
      </c>
      <c r="P22" s="1187" t="s">
        <v>3817</v>
      </c>
      <c r="Q22" s="1080"/>
      <c r="R22" s="951"/>
    </row>
    <row r="23" spans="1:18" ht="13.7" customHeight="1" x14ac:dyDescent="0.2">
      <c r="A23" s="17"/>
      <c r="B23" s="841">
        <v>9999</v>
      </c>
      <c r="C23" s="680">
        <v>1</v>
      </c>
      <c r="D23" s="17" t="s">
        <v>4089</v>
      </c>
      <c r="E23" s="834">
        <v>0</v>
      </c>
      <c r="F23" s="814">
        <v>0</v>
      </c>
      <c r="G23" s="834">
        <v>0</v>
      </c>
      <c r="H23" s="842">
        <v>0</v>
      </c>
      <c r="I23" s="878">
        <v>0</v>
      </c>
      <c r="J23" s="842">
        <v>0</v>
      </c>
      <c r="K23" s="878">
        <v>0</v>
      </c>
      <c r="L23" s="576">
        <v>0</v>
      </c>
      <c r="M23" s="814"/>
      <c r="N23" s="834"/>
      <c r="Q23" s="871"/>
      <c r="R23" s="28"/>
    </row>
    <row r="24" spans="1:18" ht="13.7" customHeight="1" x14ac:dyDescent="0.2">
      <c r="A24" s="17"/>
      <c r="B24" s="841">
        <v>1011</v>
      </c>
      <c r="C24" s="680">
        <f>C23+1</f>
        <v>2</v>
      </c>
      <c r="D24" s="17" t="s">
        <v>3371</v>
      </c>
      <c r="E24" s="834">
        <v>0</v>
      </c>
      <c r="F24" s="814">
        <v>0</v>
      </c>
      <c r="G24" s="834">
        <v>0</v>
      </c>
      <c r="H24" s="842">
        <v>0</v>
      </c>
      <c r="I24" s="878">
        <v>0</v>
      </c>
      <c r="J24" s="842">
        <v>0</v>
      </c>
      <c r="K24" s="878">
        <v>0</v>
      </c>
      <c r="L24" s="576">
        <v>0</v>
      </c>
      <c r="M24" s="814"/>
      <c r="N24" s="834">
        <f>Kulturen!K13-Kulturen!J13</f>
        <v>0.24</v>
      </c>
      <c r="O24" s="576">
        <f>Kulturen!M13-Kulturen!L13</f>
        <v>1.1200000000000001</v>
      </c>
      <c r="P24" s="576">
        <f>Kulturen!O13-Kulturen!N13</f>
        <v>0.15999999999999998</v>
      </c>
      <c r="Q24" s="871"/>
      <c r="R24" s="28"/>
    </row>
    <row r="25" spans="1:18" ht="13.7" customHeight="1" x14ac:dyDescent="0.2">
      <c r="A25" s="17"/>
      <c r="B25" s="841">
        <v>1010</v>
      </c>
      <c r="C25" s="680">
        <f t="shared" ref="C25:C87" si="0">C24+1</f>
        <v>3</v>
      </c>
      <c r="D25" s="17" t="s">
        <v>3372</v>
      </c>
      <c r="E25" s="834">
        <v>0</v>
      </c>
      <c r="F25" s="814">
        <v>0</v>
      </c>
      <c r="G25" s="834">
        <v>0</v>
      </c>
      <c r="H25" s="842">
        <v>0</v>
      </c>
      <c r="I25" s="878">
        <v>0</v>
      </c>
      <c r="J25" s="842">
        <v>0</v>
      </c>
      <c r="K25" s="878">
        <v>0</v>
      </c>
      <c r="L25" s="576">
        <v>0</v>
      </c>
      <c r="M25" s="814"/>
      <c r="N25" s="834">
        <f>Kulturen!K14-Kulturen!J14</f>
        <v>0.24</v>
      </c>
      <c r="O25" s="576">
        <f>Kulturen!M14-Kulturen!L14</f>
        <v>1.1200000000000001</v>
      </c>
      <c r="P25" s="576">
        <f>Kulturen!O14-Kulturen!N14</f>
        <v>0.15999999999999998</v>
      </c>
      <c r="Q25" s="871"/>
      <c r="R25" s="28"/>
    </row>
    <row r="26" spans="1:18" ht="13.7" customHeight="1" x14ac:dyDescent="0.2">
      <c r="A26" s="17"/>
      <c r="B26" s="841">
        <v>1017</v>
      </c>
      <c r="C26" s="680">
        <f t="shared" si="0"/>
        <v>4</v>
      </c>
      <c r="D26" s="17" t="s">
        <v>3373</v>
      </c>
      <c r="E26" s="834">
        <v>0</v>
      </c>
      <c r="F26" s="814">
        <v>0</v>
      </c>
      <c r="G26" s="834">
        <v>0</v>
      </c>
      <c r="H26" s="842">
        <v>0</v>
      </c>
      <c r="I26" s="878">
        <v>0</v>
      </c>
      <c r="J26" s="842">
        <v>0</v>
      </c>
      <c r="K26" s="878">
        <v>0</v>
      </c>
      <c r="L26" s="576">
        <v>0</v>
      </c>
      <c r="M26" s="814"/>
      <c r="N26" s="834">
        <f>Kulturen!K15-Kulturen!J15</f>
        <v>0.24</v>
      </c>
      <c r="O26" s="576">
        <f>Kulturen!M15-Kulturen!L15</f>
        <v>1.1200000000000001</v>
      </c>
      <c r="P26" s="576">
        <f>Kulturen!O15-Kulturen!N15</f>
        <v>0.15999999999999998</v>
      </c>
      <c r="Q26" s="871"/>
      <c r="R26" s="28"/>
    </row>
    <row r="27" spans="1:18" ht="13.7" customHeight="1" x14ac:dyDescent="0.2">
      <c r="A27" s="17"/>
      <c r="B27" s="841">
        <v>1019</v>
      </c>
      <c r="C27" s="680">
        <f t="shared" si="0"/>
        <v>5</v>
      </c>
      <c r="D27" s="17" t="s">
        <v>3374</v>
      </c>
      <c r="E27" s="834">
        <v>0</v>
      </c>
      <c r="F27" s="814">
        <v>0</v>
      </c>
      <c r="G27" s="834">
        <v>0</v>
      </c>
      <c r="H27" s="842">
        <v>0</v>
      </c>
      <c r="I27" s="878">
        <v>0</v>
      </c>
      <c r="J27" s="842">
        <v>0</v>
      </c>
      <c r="K27" s="878">
        <v>0</v>
      </c>
      <c r="L27" s="576">
        <v>0</v>
      </c>
      <c r="M27" s="814"/>
      <c r="N27" s="834">
        <f>Kulturen!K16-Kulturen!J16</f>
        <v>0.24</v>
      </c>
      <c r="O27" s="576">
        <f>Kulturen!M16-Kulturen!L16</f>
        <v>1.1200000000000001</v>
      </c>
      <c r="P27" s="576">
        <f>Kulturen!O16-Kulturen!N16</f>
        <v>0.15999999999999998</v>
      </c>
      <c r="Q27" s="871"/>
      <c r="R27" s="28"/>
    </row>
    <row r="28" spans="1:18" ht="13.7" customHeight="1" x14ac:dyDescent="0.2">
      <c r="A28" s="17"/>
      <c r="B28" s="841">
        <v>1020</v>
      </c>
      <c r="C28" s="680">
        <f t="shared" si="0"/>
        <v>6</v>
      </c>
      <c r="D28" s="17" t="s">
        <v>3375</v>
      </c>
      <c r="E28" s="834">
        <v>0</v>
      </c>
      <c r="F28" s="814">
        <v>0</v>
      </c>
      <c r="G28" s="834">
        <v>0</v>
      </c>
      <c r="H28" s="842">
        <v>0</v>
      </c>
      <c r="I28" s="878">
        <v>0</v>
      </c>
      <c r="J28" s="842">
        <v>0</v>
      </c>
      <c r="K28" s="878">
        <v>0</v>
      </c>
      <c r="L28" s="576">
        <v>0</v>
      </c>
      <c r="M28" s="814"/>
      <c r="N28" s="834">
        <f>Kulturen!K17-Kulturen!J17</f>
        <v>0.24</v>
      </c>
      <c r="O28" s="576">
        <f>Kulturen!M17-Kulturen!L17</f>
        <v>1.1200000000000001</v>
      </c>
      <c r="P28" s="576">
        <f>Kulturen!O17-Kulturen!N17</f>
        <v>0.15999999999999998</v>
      </c>
      <c r="Q28" s="871"/>
      <c r="R28" s="28"/>
    </row>
    <row r="29" spans="1:18" ht="13.7" customHeight="1" x14ac:dyDescent="0.2">
      <c r="A29" s="17"/>
      <c r="B29" s="841">
        <v>1021</v>
      </c>
      <c r="C29" s="680">
        <f t="shared" si="0"/>
        <v>7</v>
      </c>
      <c r="D29" s="17" t="s">
        <v>3376</v>
      </c>
      <c r="E29" s="834">
        <v>0</v>
      </c>
      <c r="F29" s="814">
        <v>0</v>
      </c>
      <c r="G29" s="834">
        <v>0</v>
      </c>
      <c r="H29" s="842">
        <v>0</v>
      </c>
      <c r="I29" s="878">
        <v>0</v>
      </c>
      <c r="J29" s="842">
        <v>0</v>
      </c>
      <c r="K29" s="878">
        <v>0</v>
      </c>
      <c r="L29" s="576">
        <v>0</v>
      </c>
      <c r="M29" s="814"/>
      <c r="N29" s="834">
        <f>Kulturen!K18-Kulturen!J18</f>
        <v>0.24</v>
      </c>
      <c r="O29" s="576">
        <f>Kulturen!M18-Kulturen!L18</f>
        <v>1.1200000000000001</v>
      </c>
      <c r="P29" s="576">
        <f>Kulturen!O18-Kulturen!N18</f>
        <v>0.15999999999999998</v>
      </c>
      <c r="Q29" s="871"/>
      <c r="R29" s="28"/>
    </row>
    <row r="30" spans="1:18" ht="13.7" customHeight="1" x14ac:dyDescent="0.2">
      <c r="A30" s="17"/>
      <c r="B30" s="841">
        <v>1050</v>
      </c>
      <c r="C30" s="680">
        <f t="shared" si="0"/>
        <v>8</v>
      </c>
      <c r="D30" s="17" t="s">
        <v>3377</v>
      </c>
      <c r="E30" s="834">
        <v>0</v>
      </c>
      <c r="F30" s="814">
        <v>0</v>
      </c>
      <c r="G30" s="834">
        <v>0</v>
      </c>
      <c r="H30" s="842">
        <v>0</v>
      </c>
      <c r="I30" s="878">
        <v>0</v>
      </c>
      <c r="J30" s="842">
        <v>0</v>
      </c>
      <c r="K30" s="878">
        <v>0</v>
      </c>
      <c r="L30" s="576">
        <v>0</v>
      </c>
      <c r="M30" s="814"/>
      <c r="N30" s="834">
        <f>Kulturen!K19-Kulturen!J19</f>
        <v>0.20999999999999996</v>
      </c>
      <c r="O30" s="576">
        <f>Kulturen!M19-Kulturen!L19</f>
        <v>1.19</v>
      </c>
      <c r="P30" s="576">
        <f>Kulturen!O19-Kulturen!N19</f>
        <v>7.0000000000000007E-2</v>
      </c>
      <c r="Q30" s="871"/>
      <c r="R30" s="28"/>
    </row>
    <row r="31" spans="1:18" ht="13.7" customHeight="1" x14ac:dyDescent="0.2">
      <c r="A31" s="17"/>
      <c r="B31" s="841">
        <v>1051</v>
      </c>
      <c r="C31" s="680">
        <f t="shared" si="0"/>
        <v>9</v>
      </c>
      <c r="D31" s="17" t="s">
        <v>3378</v>
      </c>
      <c r="E31" s="834">
        <v>0</v>
      </c>
      <c r="F31" s="814">
        <v>0</v>
      </c>
      <c r="G31" s="834">
        <v>0</v>
      </c>
      <c r="H31" s="842">
        <v>0</v>
      </c>
      <c r="I31" s="878">
        <v>0</v>
      </c>
      <c r="J31" s="842">
        <v>0</v>
      </c>
      <c r="K31" s="878">
        <v>0</v>
      </c>
      <c r="L31" s="576">
        <v>0</v>
      </c>
      <c r="M31" s="814"/>
      <c r="N31" s="834">
        <f>Kulturen!K20-Kulturen!J20</f>
        <v>0.20999999999999996</v>
      </c>
      <c r="O31" s="576">
        <f>Kulturen!M20-Kulturen!L20</f>
        <v>1.19</v>
      </c>
      <c r="P31" s="576">
        <f>Kulturen!O20-Kulturen!N20</f>
        <v>7.0000000000000007E-2</v>
      </c>
      <c r="Q31" s="871"/>
      <c r="R31" s="28"/>
    </row>
    <row r="32" spans="1:18" ht="13.7" customHeight="1" x14ac:dyDescent="0.2">
      <c r="A32" s="17"/>
      <c r="B32" s="841">
        <v>1070</v>
      </c>
      <c r="C32" s="680">
        <f t="shared" si="0"/>
        <v>10</v>
      </c>
      <c r="D32" s="17" t="s">
        <v>3379</v>
      </c>
      <c r="E32" s="834">
        <v>0</v>
      </c>
      <c r="F32" s="814">
        <v>0</v>
      </c>
      <c r="G32" s="834">
        <v>0</v>
      </c>
      <c r="H32" s="842">
        <v>0</v>
      </c>
      <c r="I32" s="878">
        <v>0</v>
      </c>
      <c r="J32" s="842">
        <v>0</v>
      </c>
      <c r="K32" s="878">
        <v>0</v>
      </c>
      <c r="L32" s="576">
        <v>0</v>
      </c>
      <c r="M32" s="814"/>
      <c r="N32" s="834">
        <f>Kulturen!K21-Kulturen!J21</f>
        <v>0.24</v>
      </c>
      <c r="O32" s="576">
        <f>Kulturen!M21-Kulturen!L21</f>
        <v>1.3599999999999999</v>
      </c>
      <c r="P32" s="576">
        <f>Kulturen!O21-Kulturen!N21</f>
        <v>8.0000000000000016E-2</v>
      </c>
      <c r="Q32" s="871"/>
      <c r="R32" s="28"/>
    </row>
    <row r="33" spans="1:18" ht="13.7" customHeight="1" x14ac:dyDescent="0.2">
      <c r="A33" s="17"/>
      <c r="B33" s="841">
        <v>1060</v>
      </c>
      <c r="C33" s="680">
        <f t="shared" si="0"/>
        <v>11</v>
      </c>
      <c r="D33" s="17" t="s">
        <v>3380</v>
      </c>
      <c r="E33" s="834">
        <v>0</v>
      </c>
      <c r="F33" s="814">
        <v>0</v>
      </c>
      <c r="G33" s="834">
        <v>0</v>
      </c>
      <c r="H33" s="842">
        <v>0</v>
      </c>
      <c r="I33" s="878">
        <v>0</v>
      </c>
      <c r="J33" s="842">
        <v>0</v>
      </c>
      <c r="K33" s="878">
        <v>0</v>
      </c>
      <c r="L33" s="576">
        <v>0</v>
      </c>
      <c r="M33" s="814"/>
      <c r="N33" s="834">
        <f>Kulturen!K22-Kulturen!J22</f>
        <v>0.20999999999999996</v>
      </c>
      <c r="O33" s="576">
        <f>Kulturen!M22-Kulturen!L22</f>
        <v>1.19</v>
      </c>
      <c r="P33" s="576">
        <f>Kulturen!O22-Kulturen!N22</f>
        <v>7.0000000000000007E-2</v>
      </c>
      <c r="Q33" s="871"/>
      <c r="R33" s="28"/>
    </row>
    <row r="34" spans="1:18" ht="13.7" customHeight="1" x14ac:dyDescent="0.2">
      <c r="A34" s="17"/>
      <c r="B34" s="841">
        <v>1030</v>
      </c>
      <c r="C34" s="680">
        <f t="shared" si="0"/>
        <v>12</v>
      </c>
      <c r="D34" s="17" t="s">
        <v>3381</v>
      </c>
      <c r="E34" s="834">
        <v>0</v>
      </c>
      <c r="F34" s="814">
        <v>0</v>
      </c>
      <c r="G34" s="834">
        <v>0</v>
      </c>
      <c r="H34" s="842">
        <v>0</v>
      </c>
      <c r="I34" s="878">
        <v>0</v>
      </c>
      <c r="J34" s="842">
        <v>0</v>
      </c>
      <c r="K34" s="878">
        <v>0</v>
      </c>
      <c r="L34" s="576">
        <v>0</v>
      </c>
      <c r="M34" s="814"/>
      <c r="N34" s="834">
        <f>Kulturen!K23-Kulturen!J23</f>
        <v>0.27</v>
      </c>
      <c r="O34" s="576">
        <f>Kulturen!M23-Kulturen!L23</f>
        <v>1.7999999999999998</v>
      </c>
      <c r="P34" s="576">
        <f>Kulturen!O23-Kulturen!N23</f>
        <v>0.18</v>
      </c>
      <c r="Q34" s="871"/>
      <c r="R34" s="28"/>
    </row>
    <row r="35" spans="1:18" ht="13.7" customHeight="1" x14ac:dyDescent="0.2">
      <c r="A35" s="17"/>
      <c r="B35" s="841">
        <v>1040</v>
      </c>
      <c r="C35" s="680">
        <f t="shared" si="0"/>
        <v>13</v>
      </c>
      <c r="D35" s="17" t="s">
        <v>3382</v>
      </c>
      <c r="E35" s="834">
        <v>0</v>
      </c>
      <c r="F35" s="814">
        <v>0</v>
      </c>
      <c r="G35" s="834">
        <v>0</v>
      </c>
      <c r="H35" s="842">
        <v>0</v>
      </c>
      <c r="I35" s="878">
        <v>0</v>
      </c>
      <c r="J35" s="842">
        <v>0</v>
      </c>
      <c r="K35" s="878">
        <v>0</v>
      </c>
      <c r="L35" s="576">
        <v>0</v>
      </c>
      <c r="M35" s="814"/>
      <c r="N35" s="834">
        <f>Kulturen!K24-Kulturen!J24</f>
        <v>0.27</v>
      </c>
      <c r="O35" s="576">
        <f>Kulturen!M24-Kulturen!L24</f>
        <v>1.7999999999999998</v>
      </c>
      <c r="P35" s="576">
        <f>Kulturen!O24-Kulturen!N24</f>
        <v>0.18</v>
      </c>
      <c r="Q35" s="871"/>
      <c r="R35" s="28"/>
    </row>
    <row r="36" spans="1:18" ht="13.7" customHeight="1" x14ac:dyDescent="0.2">
      <c r="A36" s="17"/>
      <c r="B36" s="841">
        <v>1080</v>
      </c>
      <c r="C36" s="680">
        <f t="shared" si="0"/>
        <v>14</v>
      </c>
      <c r="D36" s="17" t="s">
        <v>3383</v>
      </c>
      <c r="E36" s="834">
        <v>0</v>
      </c>
      <c r="F36" s="814">
        <v>0</v>
      </c>
      <c r="G36" s="834">
        <v>0</v>
      </c>
      <c r="H36" s="842">
        <v>0</v>
      </c>
      <c r="I36" s="878">
        <v>0</v>
      </c>
      <c r="J36" s="842">
        <v>0</v>
      </c>
      <c r="K36" s="878">
        <v>0</v>
      </c>
      <c r="L36" s="576">
        <v>0</v>
      </c>
      <c r="M36" s="814"/>
      <c r="N36" s="834">
        <f>Kulturen!K25-Kulturen!J25</f>
        <v>0.32999999999999985</v>
      </c>
      <c r="O36" s="576">
        <f>Kulturen!M25-Kulturen!L25</f>
        <v>1.87</v>
      </c>
      <c r="P36" s="576">
        <f>Kulturen!O25-Kulturen!N25</f>
        <v>0.21999999999999997</v>
      </c>
      <c r="Q36" s="871"/>
      <c r="R36" s="28"/>
    </row>
    <row r="37" spans="1:18" ht="13.7" customHeight="1" x14ac:dyDescent="0.2">
      <c r="A37" s="17"/>
      <c r="B37" s="841">
        <v>1120</v>
      </c>
      <c r="C37" s="680">
        <f t="shared" si="0"/>
        <v>15</v>
      </c>
      <c r="D37" s="17" t="s">
        <v>3596</v>
      </c>
      <c r="E37" s="834">
        <v>0</v>
      </c>
      <c r="F37" s="814">
        <v>0</v>
      </c>
      <c r="G37" s="834">
        <v>0</v>
      </c>
      <c r="H37" s="842">
        <v>0</v>
      </c>
      <c r="I37" s="878">
        <v>0</v>
      </c>
      <c r="J37" s="842">
        <v>0</v>
      </c>
      <c r="K37" s="878">
        <v>0</v>
      </c>
      <c r="L37" s="576">
        <v>0</v>
      </c>
      <c r="M37" s="814"/>
      <c r="N37" s="834">
        <f>Kulturen!K26-Kulturen!J26</f>
        <v>0.27</v>
      </c>
      <c r="O37" s="576">
        <f>Kulturen!M26-Kulturen!L26</f>
        <v>1.5299999999999998</v>
      </c>
      <c r="P37" s="576">
        <f>Kulturen!O26-Kulturen!N26</f>
        <v>0.18</v>
      </c>
      <c r="Q37" s="871"/>
      <c r="R37" s="28"/>
    </row>
    <row r="38" spans="1:18" ht="13.7" customHeight="1" x14ac:dyDescent="0.2">
      <c r="A38" s="17"/>
      <c r="B38" s="841">
        <v>1170</v>
      </c>
      <c r="C38" s="680">
        <f t="shared" si="0"/>
        <v>16</v>
      </c>
      <c r="D38" s="17" t="s">
        <v>3384</v>
      </c>
      <c r="E38" s="834">
        <v>0</v>
      </c>
      <c r="F38" s="814">
        <v>0</v>
      </c>
      <c r="G38" s="834">
        <v>0</v>
      </c>
      <c r="H38" s="842">
        <v>0</v>
      </c>
      <c r="I38" s="878">
        <v>0</v>
      </c>
      <c r="J38" s="842">
        <v>0</v>
      </c>
      <c r="K38" s="878">
        <v>0</v>
      </c>
      <c r="L38" s="576">
        <v>0</v>
      </c>
      <c r="M38" s="814"/>
      <c r="N38" s="834">
        <f>Kulturen!K27-Kulturen!J27</f>
        <v>0.30000000000000004</v>
      </c>
      <c r="O38" s="576">
        <f>Kulturen!M27-Kulturen!L27</f>
        <v>1.7</v>
      </c>
      <c r="P38" s="576">
        <f>Kulturen!O27-Kulturen!N27</f>
        <v>0.15999999999999998</v>
      </c>
      <c r="Q38" s="871"/>
      <c r="R38" s="28"/>
    </row>
    <row r="39" spans="1:18" ht="13.7" customHeight="1" x14ac:dyDescent="0.2">
      <c r="A39" s="17"/>
      <c r="B39" s="841">
        <v>1110</v>
      </c>
      <c r="C39" s="680">
        <f t="shared" si="0"/>
        <v>17</v>
      </c>
      <c r="D39" s="17" t="s">
        <v>3385</v>
      </c>
      <c r="E39" s="834">
        <v>0</v>
      </c>
      <c r="F39" s="814">
        <v>0</v>
      </c>
      <c r="G39" s="834">
        <v>0</v>
      </c>
      <c r="H39" s="842">
        <v>0</v>
      </c>
      <c r="I39" s="878">
        <v>0</v>
      </c>
      <c r="J39" s="842">
        <v>0</v>
      </c>
      <c r="K39" s="878">
        <v>0</v>
      </c>
      <c r="L39" s="576">
        <v>0</v>
      </c>
      <c r="M39" s="814"/>
      <c r="N39" s="834">
        <f>Kulturen!K28-Kulturen!J28</f>
        <v>0.24</v>
      </c>
      <c r="O39" s="576">
        <f>Kulturen!M28-Kulturen!L28</f>
        <v>1.3599999999999999</v>
      </c>
      <c r="P39" s="576">
        <f>Kulturen!O28-Kulturen!N28</f>
        <v>0.15999999999999998</v>
      </c>
      <c r="Q39" s="871"/>
      <c r="R39" s="28"/>
    </row>
    <row r="40" spans="1:18" ht="13.7" customHeight="1" x14ac:dyDescent="0.2">
      <c r="A40" s="17"/>
      <c r="B40" s="841">
        <v>1090</v>
      </c>
      <c r="C40" s="680">
        <f t="shared" si="0"/>
        <v>18</v>
      </c>
      <c r="D40" s="17" t="s">
        <v>3386</v>
      </c>
      <c r="E40" s="834">
        <v>0</v>
      </c>
      <c r="F40" s="814">
        <v>0</v>
      </c>
      <c r="G40" s="834">
        <v>0</v>
      </c>
      <c r="H40" s="842">
        <v>0</v>
      </c>
      <c r="I40" s="878">
        <v>0</v>
      </c>
      <c r="J40" s="842">
        <v>0</v>
      </c>
      <c r="K40" s="878">
        <v>0</v>
      </c>
      <c r="L40" s="576">
        <v>0</v>
      </c>
      <c r="M40" s="814"/>
      <c r="N40" s="834">
        <f>Kulturen!K29-Kulturen!J29</f>
        <v>0.30000000000000004</v>
      </c>
      <c r="O40" s="576">
        <f>Kulturen!M29-Kulturen!L29</f>
        <v>1.6999999999999997</v>
      </c>
      <c r="P40" s="576">
        <f>Kulturen!O29-Kulturen!N29</f>
        <v>0.12</v>
      </c>
      <c r="Q40" s="871"/>
      <c r="R40" s="28"/>
    </row>
    <row r="41" spans="1:18" ht="13.7" customHeight="1" x14ac:dyDescent="0.2">
      <c r="A41" s="17"/>
      <c r="B41" s="1708">
        <v>7129</v>
      </c>
      <c r="C41" s="680">
        <f t="shared" si="0"/>
        <v>19</v>
      </c>
      <c r="D41" s="146" t="s">
        <v>4781</v>
      </c>
      <c r="E41" s="1706">
        <v>15</v>
      </c>
      <c r="F41" s="1707">
        <v>0</v>
      </c>
      <c r="G41" s="1706">
        <v>5</v>
      </c>
      <c r="H41" s="1705">
        <v>0</v>
      </c>
      <c r="I41" s="1706">
        <v>15</v>
      </c>
      <c r="J41" s="1707">
        <v>0</v>
      </c>
      <c r="K41" s="1706">
        <v>5</v>
      </c>
      <c r="L41" s="1705">
        <v>0</v>
      </c>
      <c r="M41" s="1707"/>
      <c r="N41" s="1706">
        <f>Kulturen!K30-Kulturen!J30</f>
        <v>0</v>
      </c>
      <c r="O41" s="1704">
        <f>Kulturen!M30-Kulturen!L30</f>
        <v>0</v>
      </c>
      <c r="P41" s="1704">
        <f>Kulturen!O30-Kulturen!N30</f>
        <v>0</v>
      </c>
      <c r="Q41" s="871"/>
      <c r="R41" s="28"/>
    </row>
    <row r="42" spans="1:18" ht="13.7" customHeight="1" x14ac:dyDescent="0.2">
      <c r="A42" s="17"/>
      <c r="B42" s="841">
        <v>2010</v>
      </c>
      <c r="C42" s="680">
        <f t="shared" si="0"/>
        <v>20</v>
      </c>
      <c r="D42" s="17" t="s">
        <v>3387</v>
      </c>
      <c r="E42" s="834">
        <v>10</v>
      </c>
      <c r="F42" s="814">
        <v>5</v>
      </c>
      <c r="G42" s="834">
        <v>10</v>
      </c>
      <c r="H42" s="842">
        <v>5</v>
      </c>
      <c r="I42" s="878">
        <v>10</v>
      </c>
      <c r="J42" s="842">
        <v>10</v>
      </c>
      <c r="K42" s="878">
        <v>10</v>
      </c>
      <c r="L42" s="576">
        <v>10</v>
      </c>
      <c r="M42" s="814"/>
      <c r="N42" s="834">
        <f>Kulturen!K31-Kulturen!J31</f>
        <v>0.67999999999999994</v>
      </c>
      <c r="O42" s="576">
        <f>Kulturen!M31-Kulturen!L31</f>
        <v>4.25</v>
      </c>
      <c r="P42" s="576">
        <f>Kulturen!O31-Kulturen!N31</f>
        <v>0.7</v>
      </c>
      <c r="Q42" s="871"/>
      <c r="R42" s="28"/>
    </row>
    <row r="43" spans="1:18" ht="13.7" customHeight="1" x14ac:dyDescent="0.2">
      <c r="A43" s="17"/>
      <c r="B43" s="841">
        <v>2045</v>
      </c>
      <c r="C43" s="680">
        <f t="shared" si="0"/>
        <v>21</v>
      </c>
      <c r="D43" s="17" t="s">
        <v>3388</v>
      </c>
      <c r="E43" s="834">
        <v>20</v>
      </c>
      <c r="F43" s="814">
        <v>5</v>
      </c>
      <c r="G43" s="834">
        <v>10</v>
      </c>
      <c r="H43" s="842">
        <v>0</v>
      </c>
      <c r="I43" s="878">
        <v>20</v>
      </c>
      <c r="J43" s="842">
        <v>5</v>
      </c>
      <c r="K43" s="878">
        <v>10</v>
      </c>
      <c r="L43" s="576">
        <v>0</v>
      </c>
      <c r="M43" s="814"/>
      <c r="N43" s="834">
        <f>Kulturen!K32-Kulturen!J32</f>
        <v>0.60000000000000009</v>
      </c>
      <c r="O43" s="576">
        <f>Kulturen!M32-Kulturen!L32</f>
        <v>3.7499999999999996</v>
      </c>
      <c r="P43" s="576">
        <f>Kulturen!O32-Kulturen!N32</f>
        <v>0.23000000000000004</v>
      </c>
      <c r="Q43" s="871"/>
      <c r="R43" s="28"/>
    </row>
    <row r="44" spans="1:18" ht="13.7" customHeight="1" x14ac:dyDescent="0.2">
      <c r="A44" s="17"/>
      <c r="B44" s="841">
        <v>2020</v>
      </c>
      <c r="C44" s="680">
        <f t="shared" si="0"/>
        <v>22</v>
      </c>
      <c r="D44" s="17" t="s">
        <v>3389</v>
      </c>
      <c r="E44" s="834">
        <v>10</v>
      </c>
      <c r="F44" s="814">
        <v>5</v>
      </c>
      <c r="G44" s="834">
        <v>10</v>
      </c>
      <c r="H44" s="842">
        <v>5</v>
      </c>
      <c r="I44" s="878">
        <v>10</v>
      </c>
      <c r="J44" s="842">
        <v>10</v>
      </c>
      <c r="K44" s="878">
        <v>10</v>
      </c>
      <c r="L44" s="576">
        <v>10</v>
      </c>
      <c r="M44" s="814"/>
      <c r="N44" s="834">
        <f>Kulturen!K33-Kulturen!J33</f>
        <v>0.67999999999999994</v>
      </c>
      <c r="O44" s="576">
        <f>Kulturen!M33-Kulturen!L33</f>
        <v>4.25</v>
      </c>
      <c r="P44" s="576">
        <f>Kulturen!O33-Kulturen!N33</f>
        <v>0.7</v>
      </c>
      <c r="Q44" s="871"/>
      <c r="R44" s="28"/>
    </row>
    <row r="45" spans="1:18" ht="13.7" customHeight="1" x14ac:dyDescent="0.2">
      <c r="A45" s="17"/>
      <c r="B45" s="841">
        <v>2070</v>
      </c>
      <c r="C45" s="680">
        <f t="shared" si="0"/>
        <v>23</v>
      </c>
      <c r="D45" s="17" t="s">
        <v>3390</v>
      </c>
      <c r="E45" s="834">
        <v>0</v>
      </c>
      <c r="F45" s="814">
        <v>0</v>
      </c>
      <c r="G45" s="834">
        <v>0</v>
      </c>
      <c r="H45" s="842">
        <v>0</v>
      </c>
      <c r="I45" s="878">
        <v>0</v>
      </c>
      <c r="J45" s="842">
        <v>0</v>
      </c>
      <c r="K45" s="878">
        <v>0</v>
      </c>
      <c r="L45" s="576">
        <v>0</v>
      </c>
      <c r="M45" s="814"/>
      <c r="N45" s="834">
        <f>Kulturen!K34-Kulturen!J34</f>
        <v>1.7999999999999998</v>
      </c>
      <c r="O45" s="576">
        <f>Kulturen!M34-Kulturen!L34</f>
        <v>10</v>
      </c>
      <c r="P45" s="576">
        <f>Kulturen!O34-Kulturen!N34</f>
        <v>0.5</v>
      </c>
      <c r="Q45" s="871"/>
      <c r="R45" s="28"/>
    </row>
    <row r="46" spans="1:18" ht="13.7" customHeight="1" x14ac:dyDescent="0.2">
      <c r="A46" s="17"/>
      <c r="B46" s="841">
        <v>2300</v>
      </c>
      <c r="C46" s="680">
        <f t="shared" si="0"/>
        <v>24</v>
      </c>
      <c r="D46" s="17" t="s">
        <v>3391</v>
      </c>
      <c r="E46" s="834">
        <v>0</v>
      </c>
      <c r="F46" s="814">
        <v>0</v>
      </c>
      <c r="G46" s="834">
        <v>0</v>
      </c>
      <c r="H46" s="842">
        <v>0</v>
      </c>
      <c r="I46" s="878">
        <v>0</v>
      </c>
      <c r="J46" s="842">
        <v>0</v>
      </c>
      <c r="K46" s="878">
        <v>0</v>
      </c>
      <c r="L46" s="576">
        <v>0</v>
      </c>
      <c r="M46" s="814"/>
      <c r="N46" s="834">
        <f>Kulturen!K35-Kulturen!J35</f>
        <v>0.30000000000000004</v>
      </c>
      <c r="O46" s="576">
        <f>Kulturen!M35-Kulturen!L35</f>
        <v>2.1</v>
      </c>
      <c r="P46" s="576">
        <f>Kulturen!O35-Kulturen!N35</f>
        <v>0.14999999999999991</v>
      </c>
      <c r="Q46" s="871"/>
      <c r="R46" s="28"/>
    </row>
    <row r="47" spans="1:18" ht="13.7" customHeight="1" x14ac:dyDescent="0.2">
      <c r="A47" s="17"/>
      <c r="B47" s="841">
        <v>2050</v>
      </c>
      <c r="C47" s="680">
        <f t="shared" si="0"/>
        <v>25</v>
      </c>
      <c r="D47" s="17" t="s">
        <v>3392</v>
      </c>
      <c r="E47" s="834">
        <v>20</v>
      </c>
      <c r="F47" s="814">
        <v>5</v>
      </c>
      <c r="G47" s="834">
        <v>10</v>
      </c>
      <c r="H47" s="842">
        <v>0</v>
      </c>
      <c r="I47" s="878">
        <v>20</v>
      </c>
      <c r="J47" s="842">
        <v>5</v>
      </c>
      <c r="K47" s="878">
        <v>10</v>
      </c>
      <c r="L47" s="576">
        <v>0</v>
      </c>
      <c r="M47" s="814"/>
      <c r="N47" s="834">
        <f>Kulturen!K36-Kulturen!J36</f>
        <v>0</v>
      </c>
      <c r="O47" s="576">
        <f>Kulturen!M36-Kulturen!L36</f>
        <v>0</v>
      </c>
      <c r="P47" s="576">
        <f>Kulturen!O36-Kulturen!N36</f>
        <v>0</v>
      </c>
      <c r="Q47" s="871"/>
      <c r="R47" s="28"/>
    </row>
    <row r="48" spans="1:18" ht="13.7" customHeight="1" x14ac:dyDescent="0.2">
      <c r="A48" s="17"/>
      <c r="B48" s="841">
        <v>2060</v>
      </c>
      <c r="C48" s="680">
        <f t="shared" si="0"/>
        <v>26</v>
      </c>
      <c r="D48" s="17" t="s">
        <v>3393</v>
      </c>
      <c r="E48" s="834">
        <v>20</v>
      </c>
      <c r="F48" s="814">
        <v>5</v>
      </c>
      <c r="G48" s="834">
        <v>10</v>
      </c>
      <c r="H48" s="842">
        <v>0</v>
      </c>
      <c r="I48" s="878">
        <v>20</v>
      </c>
      <c r="J48" s="842">
        <v>5</v>
      </c>
      <c r="K48" s="878">
        <v>10</v>
      </c>
      <c r="L48" s="576">
        <v>0</v>
      </c>
      <c r="M48" s="814"/>
      <c r="N48" s="834">
        <f>Kulturen!K37-Kulturen!J37</f>
        <v>0</v>
      </c>
      <c r="O48" s="576">
        <f>Kulturen!M37-Kulturen!L37</f>
        <v>0</v>
      </c>
      <c r="P48" s="576">
        <f>Kulturen!O37-Kulturen!N37</f>
        <v>0</v>
      </c>
      <c r="Q48" s="871"/>
      <c r="R48" s="28"/>
    </row>
    <row r="49" spans="1:18" ht="13.7" customHeight="1" x14ac:dyDescent="0.2">
      <c r="A49" s="17"/>
      <c r="B49" s="841">
        <v>2030</v>
      </c>
      <c r="C49" s="680">
        <f t="shared" si="0"/>
        <v>27</v>
      </c>
      <c r="D49" s="17" t="s">
        <v>3394</v>
      </c>
      <c r="E49" s="834">
        <v>10</v>
      </c>
      <c r="F49" s="814">
        <v>5</v>
      </c>
      <c r="G49" s="834">
        <v>10</v>
      </c>
      <c r="H49" s="842">
        <v>5</v>
      </c>
      <c r="I49" s="878">
        <v>10</v>
      </c>
      <c r="J49" s="842">
        <v>5</v>
      </c>
      <c r="K49" s="878">
        <v>10</v>
      </c>
      <c r="L49" s="576">
        <v>5</v>
      </c>
      <c r="M49" s="814"/>
      <c r="N49" s="834">
        <f>Kulturen!K38-Kulturen!J38</f>
        <v>0</v>
      </c>
      <c r="O49" s="576">
        <f>Kulturen!M38-Kulturen!L38</f>
        <v>0</v>
      </c>
      <c r="P49" s="576">
        <f>Kulturen!O38-Kulturen!N38</f>
        <v>0</v>
      </c>
      <c r="Q49" s="871"/>
      <c r="R49" s="28"/>
    </row>
    <row r="50" spans="1:18" ht="13.7" customHeight="1" x14ac:dyDescent="0.2">
      <c r="A50" s="17"/>
      <c r="B50" s="841">
        <v>5060</v>
      </c>
      <c r="C50" s="680">
        <f t="shared" si="0"/>
        <v>28</v>
      </c>
      <c r="D50" s="17" t="s">
        <v>3395</v>
      </c>
      <c r="E50" s="834">
        <v>30</v>
      </c>
      <c r="F50" s="814">
        <v>15</v>
      </c>
      <c r="G50" s="834">
        <v>20</v>
      </c>
      <c r="H50" s="842">
        <v>10</v>
      </c>
      <c r="I50" s="878">
        <v>10</v>
      </c>
      <c r="J50" s="842">
        <v>10</v>
      </c>
      <c r="K50" s="878">
        <v>10</v>
      </c>
      <c r="L50" s="576">
        <v>10</v>
      </c>
      <c r="M50" s="814"/>
      <c r="N50" s="834">
        <f>Kulturen!K39-Kulturen!J39</f>
        <v>0.30000000000000004</v>
      </c>
      <c r="O50" s="576">
        <f>Kulturen!M39-Kulturen!L39</f>
        <v>2.6</v>
      </c>
      <c r="P50" s="576">
        <f>Kulturen!O39-Kulturen!N39</f>
        <v>0.3</v>
      </c>
      <c r="Q50" s="871"/>
      <c r="R50" s="28"/>
    </row>
    <row r="51" spans="1:18" ht="13.7" customHeight="1" x14ac:dyDescent="0.2">
      <c r="A51" s="17"/>
      <c r="B51" s="841">
        <v>5030</v>
      </c>
      <c r="C51" s="680">
        <f t="shared" si="0"/>
        <v>29</v>
      </c>
      <c r="D51" s="17" t="s">
        <v>3396</v>
      </c>
      <c r="E51" s="834">
        <v>30</v>
      </c>
      <c r="F51" s="814">
        <v>15</v>
      </c>
      <c r="G51" s="834">
        <v>20</v>
      </c>
      <c r="H51" s="842">
        <v>10</v>
      </c>
      <c r="I51" s="878">
        <v>10</v>
      </c>
      <c r="J51" s="842">
        <v>10</v>
      </c>
      <c r="K51" s="878">
        <v>10</v>
      </c>
      <c r="L51" s="576">
        <v>10</v>
      </c>
      <c r="M51" s="814"/>
      <c r="N51" s="834">
        <f>Kulturen!K40-Kulturen!J40</f>
        <v>0.30000000000000004</v>
      </c>
      <c r="O51" s="576">
        <f>Kulturen!M40-Kulturen!L40</f>
        <v>2.6</v>
      </c>
      <c r="P51" s="576">
        <f>Kulturen!O40-Kulturen!N40</f>
        <v>0.33</v>
      </c>
      <c r="Q51" s="871"/>
      <c r="R51" s="28"/>
    </row>
    <row r="52" spans="1:18" ht="13.7" customHeight="1" x14ac:dyDescent="0.2">
      <c r="A52" s="17"/>
      <c r="B52" s="841">
        <v>5010</v>
      </c>
      <c r="C52" s="680">
        <f t="shared" si="0"/>
        <v>30</v>
      </c>
      <c r="D52" s="17" t="s">
        <v>3397</v>
      </c>
      <c r="E52" s="834">
        <v>30</v>
      </c>
      <c r="F52" s="814">
        <v>15</v>
      </c>
      <c r="G52" s="834">
        <v>20</v>
      </c>
      <c r="H52" s="842">
        <v>10</v>
      </c>
      <c r="I52" s="878">
        <v>10</v>
      </c>
      <c r="J52" s="842">
        <v>10</v>
      </c>
      <c r="K52" s="878">
        <v>10</v>
      </c>
      <c r="L52" s="576">
        <v>10</v>
      </c>
      <c r="M52" s="814"/>
      <c r="N52" s="834">
        <f>Kulturen!K41-Kulturen!J41</f>
        <v>0.29999999999999982</v>
      </c>
      <c r="O52" s="576">
        <f>Kulturen!M41-Kulturen!L41</f>
        <v>2.6</v>
      </c>
      <c r="P52" s="576">
        <f>Kulturen!O41-Kulturen!N41</f>
        <v>0.3</v>
      </c>
      <c r="Q52" s="871"/>
      <c r="R52" s="28"/>
    </row>
    <row r="53" spans="1:18" ht="13.7" customHeight="1" x14ac:dyDescent="0.2">
      <c r="A53" s="17"/>
      <c r="B53" s="841">
        <v>5080</v>
      </c>
      <c r="C53" s="680">
        <f t="shared" si="0"/>
        <v>31</v>
      </c>
      <c r="D53" s="17" t="s">
        <v>3398</v>
      </c>
      <c r="E53" s="834">
        <v>30</v>
      </c>
      <c r="F53" s="814">
        <v>15</v>
      </c>
      <c r="G53" s="834">
        <v>20</v>
      </c>
      <c r="H53" s="842">
        <v>10</v>
      </c>
      <c r="I53" s="878">
        <v>10</v>
      </c>
      <c r="J53" s="842">
        <v>10</v>
      </c>
      <c r="K53" s="878">
        <v>10</v>
      </c>
      <c r="L53" s="576">
        <v>10</v>
      </c>
      <c r="M53" s="814"/>
      <c r="N53" s="834">
        <f>Kulturen!K42-Kulturen!J42</f>
        <v>0.33000000000000007</v>
      </c>
      <c r="O53" s="576">
        <f>Kulturen!M42-Kulturen!L42</f>
        <v>1.6300000000000001</v>
      </c>
      <c r="P53" s="576">
        <f>Kulturen!O42-Kulturen!N42</f>
        <v>0.3</v>
      </c>
      <c r="Q53" s="871"/>
      <c r="R53" s="28"/>
    </row>
    <row r="54" spans="1:18" ht="13.7" customHeight="1" x14ac:dyDescent="0.2">
      <c r="A54" s="17"/>
      <c r="B54" s="841">
        <v>5040</v>
      </c>
      <c r="C54" s="680">
        <f t="shared" si="0"/>
        <v>32</v>
      </c>
      <c r="D54" s="17" t="s">
        <v>3399</v>
      </c>
      <c r="E54" s="834">
        <v>30</v>
      </c>
      <c r="F54" s="814">
        <v>15</v>
      </c>
      <c r="G54" s="834">
        <v>20</v>
      </c>
      <c r="H54" s="842">
        <v>10</v>
      </c>
      <c r="I54" s="878">
        <v>10</v>
      </c>
      <c r="J54" s="842">
        <v>10</v>
      </c>
      <c r="K54" s="878">
        <v>10</v>
      </c>
      <c r="L54" s="576">
        <v>10</v>
      </c>
      <c r="M54" s="814"/>
      <c r="N54" s="834">
        <f>Kulturen!K43-Kulturen!J43</f>
        <v>7.9999999999999849E-2</v>
      </c>
      <c r="O54" s="576">
        <f>Kulturen!M43-Kulturen!L43</f>
        <v>3.28</v>
      </c>
      <c r="P54" s="576">
        <f>Kulturen!O43-Kulturen!N43</f>
        <v>0.66999999999999993</v>
      </c>
      <c r="Q54" s="871"/>
      <c r="R54" s="28"/>
    </row>
    <row r="55" spans="1:18" ht="13.7" customHeight="1" x14ac:dyDescent="0.2">
      <c r="A55" s="17"/>
      <c r="B55" s="841">
        <v>4100</v>
      </c>
      <c r="C55" s="680">
        <f t="shared" si="0"/>
        <v>33</v>
      </c>
      <c r="D55" s="17" t="s">
        <v>3400</v>
      </c>
      <c r="E55" s="834">
        <v>30</v>
      </c>
      <c r="F55" s="814">
        <v>30</v>
      </c>
      <c r="G55" s="834">
        <v>20</v>
      </c>
      <c r="H55" s="842">
        <v>20</v>
      </c>
      <c r="I55" s="878">
        <v>30</v>
      </c>
      <c r="J55" s="842">
        <v>30</v>
      </c>
      <c r="K55" s="878">
        <v>20</v>
      </c>
      <c r="L55" s="576">
        <v>20</v>
      </c>
      <c r="M55" s="814"/>
      <c r="N55" s="834">
        <f>Kulturen!K44-Kulturen!J44</f>
        <v>0</v>
      </c>
      <c r="O55" s="576">
        <f>Kulturen!M44-Kulturen!L44</f>
        <v>0</v>
      </c>
      <c r="P55" s="576">
        <f>Kulturen!O44-Kulturen!N44</f>
        <v>0</v>
      </c>
      <c r="Q55" s="871"/>
      <c r="R55" s="28"/>
    </row>
    <row r="56" spans="1:18" ht="13.7" customHeight="1" x14ac:dyDescent="0.2">
      <c r="A56" s="17"/>
      <c r="B56" s="841">
        <v>5020</v>
      </c>
      <c r="C56" s="680">
        <f t="shared" si="0"/>
        <v>34</v>
      </c>
      <c r="D56" s="17" t="s">
        <v>3401</v>
      </c>
      <c r="E56" s="834">
        <v>30</v>
      </c>
      <c r="F56" s="814">
        <v>15</v>
      </c>
      <c r="G56" s="834">
        <v>20</v>
      </c>
      <c r="H56" s="842">
        <v>10</v>
      </c>
      <c r="I56" s="878">
        <v>30</v>
      </c>
      <c r="J56" s="842">
        <v>15</v>
      </c>
      <c r="K56" s="878">
        <v>20</v>
      </c>
      <c r="L56" s="576">
        <v>10</v>
      </c>
      <c r="M56" s="814"/>
      <c r="N56" s="834">
        <f>Kulturen!K45-Kulturen!J45</f>
        <v>0.33000000000000007</v>
      </c>
      <c r="O56" s="576">
        <f>Kulturen!M45-Kulturen!L45</f>
        <v>1.6300000000000001</v>
      </c>
      <c r="P56" s="576">
        <f>Kulturen!O45-Kulturen!N45</f>
        <v>0.49999999999999994</v>
      </c>
      <c r="Q56" s="871"/>
      <c r="R56" s="28"/>
    </row>
    <row r="57" spans="1:18" ht="13.7" customHeight="1" x14ac:dyDescent="0.2">
      <c r="A57" s="17"/>
      <c r="B57" s="841">
        <v>7020</v>
      </c>
      <c r="C57" s="680">
        <f t="shared" si="0"/>
        <v>35</v>
      </c>
      <c r="D57" s="17" t="s">
        <v>3597</v>
      </c>
      <c r="E57" s="834">
        <v>10</v>
      </c>
      <c r="F57" s="814">
        <v>0</v>
      </c>
      <c r="G57" s="834">
        <v>10</v>
      </c>
      <c r="H57" s="842">
        <v>0</v>
      </c>
      <c r="I57" s="878">
        <v>0</v>
      </c>
      <c r="J57" s="842">
        <v>0</v>
      </c>
      <c r="K57" s="878">
        <v>0</v>
      </c>
      <c r="L57" s="576">
        <v>0</v>
      </c>
      <c r="M57" s="814"/>
      <c r="N57" s="834">
        <f>Kulturen!K46-Kulturen!J46</f>
        <v>0.19999999999999996</v>
      </c>
      <c r="O57" s="576">
        <f>Kulturen!M46-Kulturen!L46</f>
        <v>2</v>
      </c>
      <c r="P57" s="576">
        <f>Kulturen!O46-Kulturen!N46</f>
        <v>0.39999999999999997</v>
      </c>
      <c r="Q57" s="871"/>
      <c r="R57" s="28"/>
    </row>
    <row r="58" spans="1:18" ht="13.7" customHeight="1" x14ac:dyDescent="0.2">
      <c r="A58" s="17"/>
      <c r="B58" s="841">
        <v>7026</v>
      </c>
      <c r="C58" s="680">
        <f t="shared" si="0"/>
        <v>36</v>
      </c>
      <c r="D58" s="17" t="s">
        <v>3598</v>
      </c>
      <c r="E58" s="834">
        <v>10</v>
      </c>
      <c r="F58" s="814">
        <v>0</v>
      </c>
      <c r="G58" s="834">
        <v>10</v>
      </c>
      <c r="H58" s="842">
        <v>0</v>
      </c>
      <c r="I58" s="878">
        <v>0</v>
      </c>
      <c r="J58" s="842">
        <v>0</v>
      </c>
      <c r="K58" s="878">
        <v>0</v>
      </c>
      <c r="L58" s="576">
        <v>0</v>
      </c>
      <c r="M58" s="814"/>
      <c r="N58" s="834">
        <f>Kulturen!K47-Kulturen!J47</f>
        <v>0.19999999999999996</v>
      </c>
      <c r="O58" s="576">
        <f>Kulturen!M47-Kulturen!L47</f>
        <v>2</v>
      </c>
      <c r="P58" s="576">
        <f>Kulturen!O47-Kulturen!N47</f>
        <v>0.39999999999999997</v>
      </c>
      <c r="Q58" s="871"/>
      <c r="R58" s="28"/>
    </row>
    <row r="59" spans="1:18" ht="13.7" customHeight="1" x14ac:dyDescent="0.2">
      <c r="A59" s="17"/>
      <c r="B59" s="841">
        <v>7010</v>
      </c>
      <c r="C59" s="680">
        <f t="shared" si="0"/>
        <v>37</v>
      </c>
      <c r="D59" s="17" t="s">
        <v>3599</v>
      </c>
      <c r="E59" s="834">
        <v>0</v>
      </c>
      <c r="F59" s="814">
        <v>0</v>
      </c>
      <c r="G59" s="834">
        <v>0</v>
      </c>
      <c r="H59" s="842">
        <v>0</v>
      </c>
      <c r="I59" s="878">
        <v>0</v>
      </c>
      <c r="J59" s="842">
        <v>0</v>
      </c>
      <c r="K59" s="878">
        <v>0</v>
      </c>
      <c r="L59" s="576">
        <v>0</v>
      </c>
      <c r="M59" s="814"/>
      <c r="N59" s="834">
        <f>Kulturen!K48-Kulturen!J48</f>
        <v>0</v>
      </c>
      <c r="O59" s="576">
        <f>Kulturen!M48-Kulturen!L48</f>
        <v>0</v>
      </c>
      <c r="P59" s="576">
        <f>Kulturen!O48-Kulturen!N48</f>
        <v>0</v>
      </c>
      <c r="Q59" s="871"/>
      <c r="R59" s="28"/>
    </row>
    <row r="60" spans="1:18" ht="13.7" customHeight="1" x14ac:dyDescent="0.2">
      <c r="A60" s="17"/>
      <c r="B60" s="841">
        <v>7011</v>
      </c>
      <c r="C60" s="680">
        <f t="shared" si="0"/>
        <v>38</v>
      </c>
      <c r="D60" s="17" t="s">
        <v>3600</v>
      </c>
      <c r="E60" s="834">
        <v>0</v>
      </c>
      <c r="F60" s="814">
        <v>0</v>
      </c>
      <c r="G60" s="834">
        <v>0</v>
      </c>
      <c r="H60" s="842">
        <v>0</v>
      </c>
      <c r="I60" s="878">
        <v>0</v>
      </c>
      <c r="J60" s="842">
        <v>0</v>
      </c>
      <c r="K60" s="878">
        <v>0</v>
      </c>
      <c r="L60" s="576">
        <v>0</v>
      </c>
      <c r="M60" s="814"/>
      <c r="N60" s="834">
        <f>Kulturen!K49-Kulturen!J49</f>
        <v>0</v>
      </c>
      <c r="O60" s="576">
        <f>Kulturen!M49-Kulturen!L49</f>
        <v>0</v>
      </c>
      <c r="P60" s="576">
        <f>Kulturen!O49-Kulturen!N49</f>
        <v>0</v>
      </c>
      <c r="Q60" s="871"/>
      <c r="R60" s="28"/>
    </row>
    <row r="61" spans="1:18" ht="13.7" customHeight="1" x14ac:dyDescent="0.2">
      <c r="A61" s="17"/>
      <c r="B61" s="841">
        <v>7030</v>
      </c>
      <c r="C61" s="680">
        <f t="shared" si="0"/>
        <v>39</v>
      </c>
      <c r="D61" s="17" t="s">
        <v>3601</v>
      </c>
      <c r="E61" s="834">
        <v>10</v>
      </c>
      <c r="F61" s="814">
        <v>0</v>
      </c>
      <c r="G61" s="834">
        <v>10</v>
      </c>
      <c r="H61" s="842">
        <v>0</v>
      </c>
      <c r="I61" s="878">
        <v>10</v>
      </c>
      <c r="J61" s="842">
        <v>0</v>
      </c>
      <c r="K61" s="878">
        <v>10</v>
      </c>
      <c r="L61" s="576">
        <v>0</v>
      </c>
      <c r="M61" s="814"/>
      <c r="N61" s="834">
        <f>Kulturen!K50-Kulturen!J50</f>
        <v>0.14000000000000001</v>
      </c>
      <c r="O61" s="576">
        <f>Kulturen!M50-Kulturen!L50</f>
        <v>1.4500000000000002</v>
      </c>
      <c r="P61" s="576">
        <f>Kulturen!O50-Kulturen!N50</f>
        <v>0.28999999999999998</v>
      </c>
      <c r="Q61" s="871"/>
      <c r="R61" s="28"/>
    </row>
    <row r="62" spans="1:18" ht="13.7" customHeight="1" x14ac:dyDescent="0.2">
      <c r="A62" s="17"/>
      <c r="B62" s="841">
        <v>7016</v>
      </c>
      <c r="C62" s="680">
        <f t="shared" si="0"/>
        <v>40</v>
      </c>
      <c r="D62" s="17" t="s">
        <v>4772</v>
      </c>
      <c r="E62" s="834">
        <v>10</v>
      </c>
      <c r="F62" s="814">
        <v>0</v>
      </c>
      <c r="G62" s="834">
        <v>10</v>
      </c>
      <c r="H62" s="842">
        <v>0</v>
      </c>
      <c r="I62" s="878">
        <v>10</v>
      </c>
      <c r="J62" s="842">
        <v>0</v>
      </c>
      <c r="K62" s="878">
        <v>10</v>
      </c>
      <c r="L62" s="576">
        <v>0</v>
      </c>
      <c r="M62" s="814"/>
      <c r="N62" s="834">
        <f>Kulturen!K51-Kulturen!J51</f>
        <v>0</v>
      </c>
      <c r="O62" s="576">
        <f>Kulturen!M51-Kulturen!L51</f>
        <v>2</v>
      </c>
      <c r="P62" s="576">
        <f>Kulturen!O51-Kulturen!N51</f>
        <v>0.27</v>
      </c>
      <c r="Q62" s="871"/>
      <c r="R62" s="28"/>
    </row>
    <row r="63" spans="1:18" ht="13.7" customHeight="1" x14ac:dyDescent="0.2">
      <c r="A63" s="17"/>
      <c r="B63" s="841">
        <v>7017</v>
      </c>
      <c r="C63" s="680">
        <f t="shared" si="0"/>
        <v>41</v>
      </c>
      <c r="D63" s="17" t="s">
        <v>4773</v>
      </c>
      <c r="E63" s="834">
        <v>10</v>
      </c>
      <c r="F63" s="814">
        <v>0</v>
      </c>
      <c r="G63" s="834">
        <v>10</v>
      </c>
      <c r="H63" s="842">
        <v>0</v>
      </c>
      <c r="I63" s="878">
        <v>10</v>
      </c>
      <c r="J63" s="842">
        <v>0</v>
      </c>
      <c r="K63" s="878">
        <v>10</v>
      </c>
      <c r="L63" s="576">
        <v>0</v>
      </c>
      <c r="M63" s="814"/>
      <c r="N63" s="834">
        <f>Kulturen!K52-Kulturen!J52</f>
        <v>0</v>
      </c>
      <c r="O63" s="576">
        <f>Kulturen!M52-Kulturen!L52</f>
        <v>2</v>
      </c>
      <c r="P63" s="576">
        <f>Kulturen!O52-Kulturen!N52</f>
        <v>0.27</v>
      </c>
      <c r="Q63" s="871"/>
      <c r="R63" s="28"/>
    </row>
    <row r="64" spans="1:18" ht="13.7" customHeight="1" x14ac:dyDescent="0.2">
      <c r="A64" s="17"/>
      <c r="B64" s="841">
        <v>7018</v>
      </c>
      <c r="C64" s="680">
        <f t="shared" si="0"/>
        <v>42</v>
      </c>
      <c r="D64" s="17" t="s">
        <v>4774</v>
      </c>
      <c r="E64" s="834">
        <v>10</v>
      </c>
      <c r="F64" s="814">
        <v>0</v>
      </c>
      <c r="G64" s="834">
        <v>10</v>
      </c>
      <c r="H64" s="842">
        <v>0</v>
      </c>
      <c r="I64" s="878">
        <v>10</v>
      </c>
      <c r="J64" s="842">
        <v>0</v>
      </c>
      <c r="K64" s="878">
        <v>10</v>
      </c>
      <c r="L64" s="576">
        <v>0</v>
      </c>
      <c r="M64" s="814"/>
      <c r="N64" s="834">
        <f>Kulturen!K53-Kulturen!J53</f>
        <v>0</v>
      </c>
      <c r="O64" s="576">
        <f>Kulturen!M53-Kulturen!L53</f>
        <v>2</v>
      </c>
      <c r="P64" s="576">
        <f>Kulturen!O53-Kulturen!N53</f>
        <v>0.27</v>
      </c>
      <c r="Q64" s="871"/>
      <c r="R64" s="28"/>
    </row>
    <row r="65" spans="1:18" ht="13.7" customHeight="1" x14ac:dyDescent="0.2">
      <c r="A65" s="17"/>
      <c r="B65" s="841">
        <v>7019</v>
      </c>
      <c r="C65" s="680">
        <f t="shared" si="0"/>
        <v>43</v>
      </c>
      <c r="D65" s="17" t="s">
        <v>4775</v>
      </c>
      <c r="E65" s="834">
        <v>10</v>
      </c>
      <c r="F65" s="814">
        <v>0</v>
      </c>
      <c r="G65" s="834">
        <v>10</v>
      </c>
      <c r="H65" s="842">
        <v>0</v>
      </c>
      <c r="I65" s="878">
        <v>10</v>
      </c>
      <c r="J65" s="842">
        <v>0</v>
      </c>
      <c r="K65" s="878">
        <v>10</v>
      </c>
      <c r="L65" s="576">
        <v>0</v>
      </c>
      <c r="M65" s="814"/>
      <c r="N65" s="834">
        <f>Kulturen!K54-Kulturen!J54</f>
        <v>0</v>
      </c>
      <c r="O65" s="576">
        <f>Kulturen!M54-Kulturen!L54</f>
        <v>2</v>
      </c>
      <c r="P65" s="576">
        <f>Kulturen!O54-Kulturen!N54</f>
        <v>0.27</v>
      </c>
      <c r="Q65" s="871"/>
      <c r="R65" s="28"/>
    </row>
    <row r="66" spans="1:18" ht="13.7" customHeight="1" x14ac:dyDescent="0.2">
      <c r="A66" s="17"/>
      <c r="B66" s="841">
        <v>3030</v>
      </c>
      <c r="C66" s="680">
        <f t="shared" si="0"/>
        <v>44</v>
      </c>
      <c r="D66" s="17" t="s">
        <v>3402</v>
      </c>
      <c r="E66" s="834">
        <v>0</v>
      </c>
      <c r="F66" s="814">
        <v>0</v>
      </c>
      <c r="G66" s="834">
        <v>0</v>
      </c>
      <c r="H66" s="842">
        <v>0</v>
      </c>
      <c r="I66" s="878">
        <v>0</v>
      </c>
      <c r="J66" s="842">
        <v>0</v>
      </c>
      <c r="K66" s="878">
        <v>0</v>
      </c>
      <c r="L66" s="576">
        <v>0</v>
      </c>
      <c r="M66" s="814"/>
      <c r="N66" s="834">
        <f>Kulturen!K55-Kulturen!J55</f>
        <v>1.999999999999999E-2</v>
      </c>
      <c r="O66" s="576">
        <f>Kulturen!M55-Kulturen!L55</f>
        <v>7.2000000000000064E-2</v>
      </c>
      <c r="P66" s="576">
        <f>Kulturen!O55-Kulturen!N55</f>
        <v>1.9999999999999997E-2</v>
      </c>
      <c r="Q66" s="871"/>
      <c r="R66" s="28"/>
    </row>
    <row r="67" spans="1:18" ht="13.7" customHeight="1" x14ac:dyDescent="0.2">
      <c r="A67" s="17"/>
      <c r="B67" s="841">
        <v>3040</v>
      </c>
      <c r="C67" s="680">
        <f t="shared" si="0"/>
        <v>45</v>
      </c>
      <c r="D67" s="17" t="s">
        <v>3403</v>
      </c>
      <c r="E67" s="834">
        <v>0</v>
      </c>
      <c r="F67" s="814">
        <v>0</v>
      </c>
      <c r="G67" s="834">
        <v>0</v>
      </c>
      <c r="H67" s="842">
        <v>0</v>
      </c>
      <c r="I67" s="878">
        <v>0</v>
      </c>
      <c r="J67" s="842">
        <v>0</v>
      </c>
      <c r="K67" s="878">
        <v>0</v>
      </c>
      <c r="L67" s="576">
        <v>0</v>
      </c>
      <c r="M67" s="814"/>
      <c r="N67" s="834">
        <f>Kulturen!K56-Kulturen!J56</f>
        <v>1.999999999999999E-2</v>
      </c>
      <c r="O67" s="576">
        <f>Kulturen!M56-Kulturen!L56</f>
        <v>7.2000000000000064E-2</v>
      </c>
      <c r="P67" s="576">
        <f>Kulturen!O56-Kulturen!N56</f>
        <v>1.9999999999999997E-2</v>
      </c>
      <c r="Q67" s="871"/>
      <c r="R67" s="28"/>
    </row>
    <row r="68" spans="1:18" ht="13.7" customHeight="1" x14ac:dyDescent="0.2">
      <c r="A68" s="17"/>
      <c r="B68" s="841">
        <v>3060</v>
      </c>
      <c r="C68" s="680">
        <f t="shared" si="0"/>
        <v>46</v>
      </c>
      <c r="D68" s="17" t="s">
        <v>3404</v>
      </c>
      <c r="E68" s="834">
        <v>30</v>
      </c>
      <c r="F68" s="814">
        <v>0</v>
      </c>
      <c r="G68" s="834">
        <v>20</v>
      </c>
      <c r="H68" s="842">
        <v>0</v>
      </c>
      <c r="I68" s="878">
        <v>20</v>
      </c>
      <c r="J68" s="842">
        <v>0</v>
      </c>
      <c r="K68" s="878">
        <v>10</v>
      </c>
      <c r="L68" s="576">
        <v>0</v>
      </c>
      <c r="M68" s="814"/>
      <c r="N68" s="834">
        <f>Kulturen!K57-Kulturen!J57</f>
        <v>3.2000000000000001E-2</v>
      </c>
      <c r="O68" s="576">
        <f>Kulturen!M57-Kulturen!L57</f>
        <v>0.19999999999999996</v>
      </c>
      <c r="P68" s="576">
        <f>Kulturen!O57-Kulturen!N57</f>
        <v>0.03</v>
      </c>
      <c r="Q68" s="871"/>
      <c r="R68" s="28"/>
    </row>
    <row r="69" spans="1:18" ht="13.7" customHeight="1" x14ac:dyDescent="0.2">
      <c r="A69" s="17"/>
      <c r="B69" s="841">
        <v>3020</v>
      </c>
      <c r="C69" s="680">
        <f t="shared" si="0"/>
        <v>47</v>
      </c>
      <c r="D69" s="17" t="s">
        <v>3405</v>
      </c>
      <c r="E69" s="834">
        <v>30</v>
      </c>
      <c r="F69" s="814">
        <v>0</v>
      </c>
      <c r="G69" s="834">
        <v>20</v>
      </c>
      <c r="H69" s="842">
        <v>0</v>
      </c>
      <c r="I69" s="878">
        <v>20</v>
      </c>
      <c r="J69" s="842">
        <v>0</v>
      </c>
      <c r="K69" s="878">
        <v>10</v>
      </c>
      <c r="L69" s="576">
        <v>0</v>
      </c>
      <c r="M69" s="814"/>
      <c r="N69" s="834">
        <f>Kulturen!K58-Kulturen!J58</f>
        <v>1.999999999999999E-2</v>
      </c>
      <c r="O69" s="576">
        <f>Kulturen!M58-Kulturen!L58</f>
        <v>0.15999999999999998</v>
      </c>
      <c r="P69" s="576">
        <f>Kulturen!O58-Kulturen!N58</f>
        <v>0.03</v>
      </c>
      <c r="Q69" s="871"/>
      <c r="R69" s="28"/>
    </row>
    <row r="70" spans="1:18" ht="13.7" customHeight="1" x14ac:dyDescent="0.2">
      <c r="A70" s="17"/>
      <c r="B70" s="841">
        <v>3010</v>
      </c>
      <c r="C70" s="680">
        <f t="shared" si="0"/>
        <v>48</v>
      </c>
      <c r="D70" s="17" t="s">
        <v>3406</v>
      </c>
      <c r="E70" s="834">
        <v>30</v>
      </c>
      <c r="F70" s="814">
        <v>0</v>
      </c>
      <c r="G70" s="834">
        <v>20</v>
      </c>
      <c r="H70" s="842">
        <v>0</v>
      </c>
      <c r="I70" s="878">
        <v>10</v>
      </c>
      <c r="J70" s="842">
        <v>0</v>
      </c>
      <c r="K70" s="878">
        <v>10</v>
      </c>
      <c r="L70" s="576">
        <v>0</v>
      </c>
      <c r="M70" s="814"/>
      <c r="N70" s="834">
        <f>Kulturen!K59-Kulturen!J59</f>
        <v>7.9999999999999988E-2</v>
      </c>
      <c r="O70" s="576">
        <f>Kulturen!M59-Kulturen!L59</f>
        <v>0.42000000000000004</v>
      </c>
      <c r="P70" s="576">
        <f>Kulturen!O59-Kulturen!N59</f>
        <v>6.9999999999999993E-2</v>
      </c>
      <c r="Q70" s="871"/>
      <c r="R70" s="28"/>
    </row>
    <row r="71" spans="1:18" ht="13.7" customHeight="1" x14ac:dyDescent="0.2">
      <c r="A71" s="17"/>
      <c r="B71" s="841">
        <v>7110</v>
      </c>
      <c r="C71" s="680">
        <f t="shared" si="0"/>
        <v>49</v>
      </c>
      <c r="D71" s="17" t="s">
        <v>3603</v>
      </c>
      <c r="E71" s="834">
        <v>0</v>
      </c>
      <c r="F71" s="814">
        <v>0</v>
      </c>
      <c r="G71" s="834">
        <v>0</v>
      </c>
      <c r="H71" s="842">
        <v>0</v>
      </c>
      <c r="I71" s="878">
        <v>0</v>
      </c>
      <c r="J71" s="842">
        <v>0</v>
      </c>
      <c r="K71" s="878">
        <v>0</v>
      </c>
      <c r="L71" s="576">
        <v>0</v>
      </c>
      <c r="M71" s="814"/>
      <c r="N71" s="834">
        <f>Kulturen!K60-Kulturen!J60</f>
        <v>0</v>
      </c>
      <c r="O71" s="576">
        <f>Kulturen!M60-Kulturen!L60</f>
        <v>0</v>
      </c>
      <c r="P71" s="576">
        <f>Kulturen!O60-Kulturen!N60</f>
        <v>0</v>
      </c>
      <c r="Q71" s="871"/>
      <c r="R71" s="28"/>
    </row>
    <row r="72" spans="1:18" ht="13.7" customHeight="1" x14ac:dyDescent="0.2">
      <c r="A72" s="17"/>
      <c r="B72" s="841">
        <v>7126</v>
      </c>
      <c r="C72" s="680">
        <f t="shared" si="0"/>
        <v>50</v>
      </c>
      <c r="D72" s="17" t="s">
        <v>4455</v>
      </c>
      <c r="E72" s="834">
        <v>10</v>
      </c>
      <c r="F72" s="814">
        <v>0</v>
      </c>
      <c r="G72" s="834">
        <v>10</v>
      </c>
      <c r="H72" s="842">
        <v>0</v>
      </c>
      <c r="I72" s="878">
        <v>10</v>
      </c>
      <c r="J72" s="842">
        <v>0</v>
      </c>
      <c r="K72" s="878">
        <v>10</v>
      </c>
      <c r="L72" s="576">
        <v>0</v>
      </c>
      <c r="M72" s="814"/>
      <c r="N72" s="834">
        <f>Kulturen!K61-Kulturen!J61</f>
        <v>0</v>
      </c>
      <c r="O72" s="576">
        <f>Kulturen!M61-Kulturen!L61</f>
        <v>0</v>
      </c>
      <c r="P72" s="576">
        <f>Kulturen!O61-Kulturen!N61</f>
        <v>0</v>
      </c>
      <c r="Q72" s="871"/>
      <c r="R72" s="28"/>
    </row>
    <row r="73" spans="1:18" ht="13.7" customHeight="1" x14ac:dyDescent="0.2">
      <c r="A73" s="17"/>
      <c r="B73" s="841">
        <v>7128</v>
      </c>
      <c r="C73" s="680">
        <f t="shared" si="0"/>
        <v>51</v>
      </c>
      <c r="D73" s="17" t="s">
        <v>3407</v>
      </c>
      <c r="E73" s="834">
        <v>10</v>
      </c>
      <c r="F73" s="814">
        <v>0</v>
      </c>
      <c r="G73" s="834">
        <v>10</v>
      </c>
      <c r="H73" s="842">
        <v>0</v>
      </c>
      <c r="I73" s="878">
        <v>10</v>
      </c>
      <c r="J73" s="842">
        <v>0</v>
      </c>
      <c r="K73" s="878">
        <v>10</v>
      </c>
      <c r="L73" s="576">
        <v>0</v>
      </c>
      <c r="M73" s="814"/>
      <c r="N73" s="834">
        <f>Kulturen!K62-Kulturen!J62</f>
        <v>0</v>
      </c>
      <c r="O73" s="576">
        <f>Kulturen!M62-Kulturen!L62</f>
        <v>0</v>
      </c>
      <c r="P73" s="576">
        <f>Kulturen!O62-Kulturen!N62</f>
        <v>0</v>
      </c>
      <c r="Q73" s="871"/>
      <c r="R73" s="28"/>
    </row>
    <row r="74" spans="1:18" ht="13.7" customHeight="1" x14ac:dyDescent="0.2">
      <c r="A74" s="17"/>
      <c r="B74" s="841">
        <v>1190</v>
      </c>
      <c r="C74" s="680">
        <f t="shared" si="0"/>
        <v>52</v>
      </c>
      <c r="D74" s="17" t="s">
        <v>3408</v>
      </c>
      <c r="E74" s="834">
        <v>10</v>
      </c>
      <c r="F74" s="814">
        <v>0</v>
      </c>
      <c r="G74" s="834">
        <v>10</v>
      </c>
      <c r="H74" s="842">
        <v>0</v>
      </c>
      <c r="I74" s="878">
        <v>10</v>
      </c>
      <c r="J74" s="842">
        <v>0</v>
      </c>
      <c r="K74" s="878">
        <v>10</v>
      </c>
      <c r="L74" s="576">
        <v>0</v>
      </c>
      <c r="M74" s="814"/>
      <c r="N74" s="834">
        <f>Kulturen!K63-Kulturen!J63</f>
        <v>0.29000000000000004</v>
      </c>
      <c r="O74" s="576">
        <f>Kulturen!M63-Kulturen!L63</f>
        <v>2.09</v>
      </c>
      <c r="P74" s="576">
        <f>Kulturen!O63-Kulturen!N63</f>
        <v>0.29000000000000004</v>
      </c>
      <c r="Q74" s="871"/>
      <c r="R74" s="28"/>
    </row>
    <row r="75" spans="1:18" ht="13.7" customHeight="1" x14ac:dyDescent="0.2">
      <c r="A75" s="17"/>
      <c r="B75" s="841">
        <v>7120</v>
      </c>
      <c r="C75" s="680">
        <f t="shared" si="0"/>
        <v>53</v>
      </c>
      <c r="D75" s="17" t="s">
        <v>3409</v>
      </c>
      <c r="E75" s="834">
        <v>0</v>
      </c>
      <c r="F75" s="814">
        <v>0</v>
      </c>
      <c r="G75" s="834">
        <v>0</v>
      </c>
      <c r="H75" s="842">
        <v>0</v>
      </c>
      <c r="I75" s="878">
        <v>0</v>
      </c>
      <c r="J75" s="842">
        <v>0</v>
      </c>
      <c r="K75" s="878">
        <v>0</v>
      </c>
      <c r="L75" s="576">
        <v>0</v>
      </c>
      <c r="M75" s="814"/>
      <c r="N75" s="834">
        <f>Kulturen!K64-Kulturen!J64</f>
        <v>0</v>
      </c>
      <c r="O75" s="576">
        <f>Kulturen!M64-Kulturen!L64</f>
        <v>0</v>
      </c>
      <c r="P75" s="576">
        <f>Kulturen!O64-Kulturen!N64</f>
        <v>0</v>
      </c>
      <c r="Q75" s="871"/>
      <c r="R75" s="28"/>
    </row>
    <row r="76" spans="1:18" ht="13.7" customHeight="1" x14ac:dyDescent="0.2">
      <c r="A76" s="17"/>
      <c r="B76" s="841">
        <v>7114</v>
      </c>
      <c r="C76" s="680">
        <f t="shared" si="0"/>
        <v>54</v>
      </c>
      <c r="D76" s="17" t="s">
        <v>3410</v>
      </c>
      <c r="E76" s="834">
        <v>0</v>
      </c>
      <c r="F76" s="814">
        <v>0</v>
      </c>
      <c r="G76" s="834">
        <v>0</v>
      </c>
      <c r="H76" s="842">
        <v>0</v>
      </c>
      <c r="I76" s="878">
        <v>0</v>
      </c>
      <c r="J76" s="842">
        <v>0</v>
      </c>
      <c r="K76" s="878">
        <v>0</v>
      </c>
      <c r="L76" s="576">
        <v>0</v>
      </c>
      <c r="M76" s="814"/>
      <c r="N76" s="834">
        <f>Kulturen!K65-Kulturen!J65</f>
        <v>0</v>
      </c>
      <c r="O76" s="576">
        <f>Kulturen!M65-Kulturen!L65</f>
        <v>0</v>
      </c>
      <c r="P76" s="576">
        <f>Kulturen!O65-Kulturen!N65</f>
        <v>0</v>
      </c>
      <c r="Q76" s="871"/>
      <c r="R76" s="28"/>
    </row>
    <row r="77" spans="1:18" ht="13.7" customHeight="1" x14ac:dyDescent="0.2">
      <c r="A77" s="17"/>
      <c r="B77" s="841">
        <v>7116</v>
      </c>
      <c r="C77" s="680">
        <f t="shared" si="0"/>
        <v>55</v>
      </c>
      <c r="D77" s="17" t="s">
        <v>3411</v>
      </c>
      <c r="E77" s="834">
        <v>0</v>
      </c>
      <c r="F77" s="814">
        <v>0</v>
      </c>
      <c r="G77" s="834">
        <v>0</v>
      </c>
      <c r="H77" s="842">
        <v>0</v>
      </c>
      <c r="I77" s="878">
        <v>0</v>
      </c>
      <c r="J77" s="842">
        <v>0</v>
      </c>
      <c r="K77" s="878">
        <v>0</v>
      </c>
      <c r="L77" s="576">
        <v>0</v>
      </c>
      <c r="M77" s="814"/>
      <c r="N77" s="834">
        <f>Kulturen!K66-Kulturen!J66</f>
        <v>0</v>
      </c>
      <c r="O77" s="576">
        <f>Kulturen!M66-Kulturen!L66</f>
        <v>0</v>
      </c>
      <c r="P77" s="576">
        <f>Kulturen!O66-Kulturen!N66</f>
        <v>0</v>
      </c>
      <c r="Q77" s="871"/>
      <c r="R77" s="28"/>
    </row>
    <row r="78" spans="1:18" ht="13.7" customHeight="1" x14ac:dyDescent="0.2">
      <c r="A78" s="17"/>
      <c r="B78" s="841">
        <v>7118</v>
      </c>
      <c r="C78" s="680">
        <f t="shared" si="0"/>
        <v>56</v>
      </c>
      <c r="D78" s="17" t="s">
        <v>3412</v>
      </c>
      <c r="E78" s="834">
        <v>0</v>
      </c>
      <c r="F78" s="814">
        <v>0</v>
      </c>
      <c r="G78" s="834">
        <v>0</v>
      </c>
      <c r="H78" s="842">
        <v>0</v>
      </c>
      <c r="I78" s="878">
        <v>0</v>
      </c>
      <c r="J78" s="842">
        <v>0</v>
      </c>
      <c r="K78" s="878">
        <v>0</v>
      </c>
      <c r="L78" s="576">
        <v>0</v>
      </c>
      <c r="M78" s="814"/>
      <c r="N78" s="834">
        <f>Kulturen!K67-Kulturen!J67</f>
        <v>0</v>
      </c>
      <c r="O78" s="576">
        <f>Kulturen!M67-Kulturen!L67</f>
        <v>0</v>
      </c>
      <c r="P78" s="576">
        <f>Kulturen!O67-Kulturen!N67</f>
        <v>0</v>
      </c>
      <c r="Q78" s="871"/>
      <c r="R78" s="28"/>
    </row>
    <row r="79" spans="1:18" ht="13.7" customHeight="1" x14ac:dyDescent="0.2">
      <c r="A79" s="17"/>
      <c r="B79" s="841">
        <v>7122</v>
      </c>
      <c r="C79" s="680">
        <f t="shared" si="0"/>
        <v>57</v>
      </c>
      <c r="D79" s="17" t="s">
        <v>3413</v>
      </c>
      <c r="E79" s="834">
        <v>0</v>
      </c>
      <c r="F79" s="814">
        <v>0</v>
      </c>
      <c r="G79" s="834">
        <v>0</v>
      </c>
      <c r="H79" s="842">
        <v>0</v>
      </c>
      <c r="I79" s="878">
        <v>0</v>
      </c>
      <c r="J79" s="842">
        <v>0</v>
      </c>
      <c r="K79" s="878">
        <v>0</v>
      </c>
      <c r="L79" s="576">
        <v>0</v>
      </c>
      <c r="M79" s="814"/>
      <c r="N79" s="834">
        <f>Kulturen!K68-Kulturen!J68</f>
        <v>0</v>
      </c>
      <c r="O79" s="576">
        <f>Kulturen!M68-Kulturen!L68</f>
        <v>0</v>
      </c>
      <c r="P79" s="576">
        <f>Kulturen!O68-Kulturen!N68</f>
        <v>0</v>
      </c>
      <c r="Q79" s="871"/>
      <c r="R79" s="28"/>
    </row>
    <row r="80" spans="1:18" ht="13.7" customHeight="1" x14ac:dyDescent="0.2">
      <c r="A80" s="17"/>
      <c r="B80" s="841">
        <v>7124</v>
      </c>
      <c r="C80" s="680">
        <f t="shared" si="0"/>
        <v>58</v>
      </c>
      <c r="D80" s="17" t="s">
        <v>3414</v>
      </c>
      <c r="E80" s="834">
        <v>0</v>
      </c>
      <c r="F80" s="814">
        <v>0</v>
      </c>
      <c r="G80" s="834">
        <v>0</v>
      </c>
      <c r="H80" s="842">
        <v>0</v>
      </c>
      <c r="I80" s="878">
        <v>0</v>
      </c>
      <c r="J80" s="842">
        <v>0</v>
      </c>
      <c r="K80" s="878">
        <v>0</v>
      </c>
      <c r="L80" s="576">
        <v>0</v>
      </c>
      <c r="M80" s="814"/>
      <c r="N80" s="834">
        <f>Kulturen!K69-Kulturen!J69</f>
        <v>0</v>
      </c>
      <c r="O80" s="576">
        <f>Kulturen!M69-Kulturen!L69</f>
        <v>0</v>
      </c>
      <c r="P80" s="576">
        <f>Kulturen!O69-Kulturen!N69</f>
        <v>0</v>
      </c>
      <c r="Q80" s="871"/>
      <c r="R80" s="28"/>
    </row>
    <row r="81" spans="1:18" ht="13.7" customHeight="1" x14ac:dyDescent="0.2">
      <c r="A81" s="17"/>
      <c r="B81" s="841">
        <v>9070</v>
      </c>
      <c r="C81" s="680">
        <f t="shared" si="0"/>
        <v>59</v>
      </c>
      <c r="D81" s="17" t="s">
        <v>3415</v>
      </c>
      <c r="E81" s="834">
        <v>0</v>
      </c>
      <c r="F81" s="814">
        <v>0</v>
      </c>
      <c r="G81" s="834">
        <v>0</v>
      </c>
      <c r="H81" s="842">
        <v>0</v>
      </c>
      <c r="I81" s="878">
        <v>0</v>
      </c>
      <c r="J81" s="842">
        <v>0</v>
      </c>
      <c r="K81" s="878">
        <v>0</v>
      </c>
      <c r="L81" s="576">
        <v>0</v>
      </c>
      <c r="M81" s="814"/>
      <c r="N81" s="834">
        <f>Kulturen!K70-Kulturen!J70</f>
        <v>1</v>
      </c>
      <c r="O81" s="576">
        <f>Kulturen!M70-Kulturen!L70</f>
        <v>4.6999999999999993</v>
      </c>
      <c r="P81" s="576">
        <f>Kulturen!O70-Kulturen!N70</f>
        <v>1.7000000000000002</v>
      </c>
      <c r="Q81" s="871"/>
      <c r="R81" s="28"/>
    </row>
    <row r="82" spans="1:18" ht="13.7" customHeight="1" x14ac:dyDescent="0.2">
      <c r="A82" s="17"/>
      <c r="B82" s="841">
        <v>2610</v>
      </c>
      <c r="C82" s="680">
        <f t="shared" si="0"/>
        <v>60</v>
      </c>
      <c r="D82" s="17" t="s">
        <v>3416</v>
      </c>
      <c r="E82" s="834">
        <v>15</v>
      </c>
      <c r="F82" s="814">
        <v>5</v>
      </c>
      <c r="G82" s="834">
        <v>15</v>
      </c>
      <c r="H82" s="842">
        <v>5</v>
      </c>
      <c r="I82" s="878">
        <v>15</v>
      </c>
      <c r="J82" s="842">
        <v>5</v>
      </c>
      <c r="K82" s="878">
        <v>15</v>
      </c>
      <c r="L82" s="576">
        <v>5</v>
      </c>
      <c r="M82" s="814"/>
      <c r="N82" s="834">
        <f>Kulturen!K71-Kulturen!J71</f>
        <v>0</v>
      </c>
      <c r="O82" s="576">
        <f>Kulturen!M71-Kulturen!L71</f>
        <v>0</v>
      </c>
      <c r="P82" s="576">
        <f>Kulturen!O71-Kulturen!N71</f>
        <v>0</v>
      </c>
      <c r="Q82" s="871"/>
      <c r="R82" s="28"/>
    </row>
    <row r="83" spans="1:18" ht="13.7" customHeight="1" x14ac:dyDescent="0.2">
      <c r="A83" s="17"/>
      <c r="B83" s="841">
        <v>2700</v>
      </c>
      <c r="C83" s="680">
        <f t="shared" si="0"/>
        <v>61</v>
      </c>
      <c r="D83" s="17" t="s">
        <v>3417</v>
      </c>
      <c r="E83" s="834">
        <v>0</v>
      </c>
      <c r="F83" s="814">
        <v>0</v>
      </c>
      <c r="G83" s="834">
        <v>0</v>
      </c>
      <c r="H83" s="842">
        <v>0</v>
      </c>
      <c r="I83" s="878">
        <v>0</v>
      </c>
      <c r="J83" s="842">
        <v>0</v>
      </c>
      <c r="K83" s="878">
        <v>0</v>
      </c>
      <c r="L83" s="576">
        <v>0</v>
      </c>
      <c r="M83" s="814"/>
      <c r="N83" s="834">
        <f>Kulturen!K72-Kulturen!J72</f>
        <v>0</v>
      </c>
      <c r="O83" s="576">
        <f>Kulturen!M72-Kulturen!L72</f>
        <v>0</v>
      </c>
      <c r="P83" s="576">
        <f>Kulturen!O72-Kulturen!N72</f>
        <v>0</v>
      </c>
      <c r="Q83" s="871"/>
      <c r="R83" s="28"/>
    </row>
    <row r="84" spans="1:18" ht="13.7" customHeight="1" x14ac:dyDescent="0.2">
      <c r="A84" s="17"/>
      <c r="B84" s="841">
        <v>3100</v>
      </c>
      <c r="C84" s="680">
        <f t="shared" si="0"/>
        <v>62</v>
      </c>
      <c r="D84" s="17" t="s">
        <v>3418</v>
      </c>
      <c r="E84" s="834">
        <v>15</v>
      </c>
      <c r="F84" s="814">
        <v>0</v>
      </c>
      <c r="G84" s="834">
        <v>5</v>
      </c>
      <c r="H84" s="842">
        <v>0</v>
      </c>
      <c r="I84" s="878">
        <v>15</v>
      </c>
      <c r="J84" s="842">
        <v>0</v>
      </c>
      <c r="K84" s="878">
        <v>5</v>
      </c>
      <c r="L84" s="576">
        <v>0</v>
      </c>
      <c r="M84" s="814"/>
      <c r="N84" s="834">
        <f>Kulturen!K73-Kulturen!J73</f>
        <v>2.0000000000000018E-2</v>
      </c>
      <c r="O84" s="576">
        <f>Kulturen!M73-Kulturen!L73</f>
        <v>9.9999999999999978E-2</v>
      </c>
      <c r="P84" s="576">
        <f>Kulturen!O73-Kulturen!N73</f>
        <v>3.0000000000000002E-2</v>
      </c>
      <c r="Q84" s="871"/>
      <c r="R84" s="28"/>
    </row>
    <row r="85" spans="1:18" ht="13.7" customHeight="1" x14ac:dyDescent="0.2">
      <c r="A85" s="17"/>
      <c r="B85" s="841">
        <v>2200</v>
      </c>
      <c r="C85" s="680">
        <f t="shared" si="0"/>
        <v>63</v>
      </c>
      <c r="D85" s="17" t="s">
        <v>3419</v>
      </c>
      <c r="E85" s="834">
        <v>0</v>
      </c>
      <c r="F85" s="814">
        <v>0</v>
      </c>
      <c r="G85" s="834">
        <v>0</v>
      </c>
      <c r="H85" s="842">
        <v>0</v>
      </c>
      <c r="I85" s="878">
        <v>0</v>
      </c>
      <c r="J85" s="842">
        <v>0</v>
      </c>
      <c r="K85" s="878">
        <v>0</v>
      </c>
      <c r="L85" s="576">
        <v>0</v>
      </c>
      <c r="M85" s="814"/>
      <c r="N85" s="834">
        <f>Kulturen!K74-Kulturen!J74</f>
        <v>0</v>
      </c>
      <c r="O85" s="576">
        <f>Kulturen!M74-Kulturen!L74</f>
        <v>0</v>
      </c>
      <c r="P85" s="576">
        <f>Kulturen!O74-Kulturen!N74</f>
        <v>0</v>
      </c>
      <c r="Q85" s="871"/>
      <c r="R85" s="28"/>
    </row>
    <row r="86" spans="1:18" ht="13.7" customHeight="1" x14ac:dyDescent="0.2">
      <c r="A86" s="17"/>
      <c r="B86" s="841">
        <v>2500</v>
      </c>
      <c r="C86" s="680">
        <f t="shared" si="0"/>
        <v>64</v>
      </c>
      <c r="D86" s="17" t="s">
        <v>3420</v>
      </c>
      <c r="E86" s="834">
        <v>0</v>
      </c>
      <c r="F86" s="814">
        <v>0</v>
      </c>
      <c r="G86" s="834">
        <v>0</v>
      </c>
      <c r="H86" s="842">
        <v>0</v>
      </c>
      <c r="I86" s="878">
        <v>0</v>
      </c>
      <c r="J86" s="842">
        <v>0</v>
      </c>
      <c r="K86" s="878">
        <v>0</v>
      </c>
      <c r="L86" s="576">
        <v>0</v>
      </c>
      <c r="M86" s="814"/>
      <c r="N86" s="834">
        <f>Kulturen!K75-Kulturen!J75</f>
        <v>0</v>
      </c>
      <c r="O86" s="576">
        <f>Kulturen!M75-Kulturen!L75</f>
        <v>0</v>
      </c>
      <c r="P86" s="576">
        <f>Kulturen!O75-Kulturen!N75</f>
        <v>0</v>
      </c>
      <c r="Q86" s="871"/>
      <c r="R86" s="28"/>
    </row>
    <row r="87" spans="1:18" ht="13.7" customHeight="1" x14ac:dyDescent="0.2">
      <c r="A87" s="17"/>
      <c r="B87" s="841">
        <v>9022</v>
      </c>
      <c r="C87" s="680">
        <f t="shared" si="0"/>
        <v>65</v>
      </c>
      <c r="D87" s="17" t="s">
        <v>3421</v>
      </c>
      <c r="E87" s="834">
        <v>20</v>
      </c>
      <c r="F87" s="814">
        <v>10</v>
      </c>
      <c r="G87" s="834">
        <v>20</v>
      </c>
      <c r="H87" s="842">
        <v>10</v>
      </c>
      <c r="I87" s="878">
        <v>20</v>
      </c>
      <c r="J87" s="842">
        <v>10</v>
      </c>
      <c r="K87" s="878">
        <v>20</v>
      </c>
      <c r="L87" s="576">
        <v>10</v>
      </c>
      <c r="M87" s="814"/>
      <c r="N87" s="834">
        <f>Kulturen!K76-Kulturen!J76</f>
        <v>0.39</v>
      </c>
      <c r="O87" s="576">
        <f>Kulturen!M76-Kulturen!L76</f>
        <v>3.35</v>
      </c>
      <c r="P87" s="576">
        <f>Kulturen!O76-Kulturen!N76</f>
        <v>0.28000000000000003</v>
      </c>
      <c r="Q87" s="871"/>
      <c r="R87" s="28"/>
    </row>
    <row r="88" spans="1:18" ht="13.7" customHeight="1" x14ac:dyDescent="0.2">
      <c r="A88" s="17"/>
      <c r="B88" s="841">
        <v>9940</v>
      </c>
      <c r="C88" s="680">
        <f t="shared" ref="C88:C121" si="1">C87+1</f>
        <v>66</v>
      </c>
      <c r="D88" s="17" t="s">
        <v>3604</v>
      </c>
      <c r="E88" s="834">
        <v>40</v>
      </c>
      <c r="F88" s="814">
        <v>40</v>
      </c>
      <c r="G88" s="834">
        <v>30</v>
      </c>
      <c r="H88" s="842">
        <v>30</v>
      </c>
      <c r="I88" s="878">
        <v>20</v>
      </c>
      <c r="J88" s="842">
        <v>20</v>
      </c>
      <c r="K88" s="878">
        <v>20</v>
      </c>
      <c r="L88" s="576">
        <v>20</v>
      </c>
      <c r="M88" s="814"/>
      <c r="N88" s="834">
        <v>0</v>
      </c>
      <c r="O88" s="576">
        <v>0</v>
      </c>
      <c r="P88" s="576">
        <v>0</v>
      </c>
      <c r="Q88" s="871"/>
      <c r="R88" s="28"/>
    </row>
    <row r="89" spans="1:18" ht="13.7" customHeight="1" x14ac:dyDescent="0.2">
      <c r="A89" s="17"/>
      <c r="B89" s="841">
        <v>9924</v>
      </c>
      <c r="C89" s="680">
        <f t="shared" si="1"/>
        <v>67</v>
      </c>
      <c r="D89" s="17" t="s">
        <v>3605</v>
      </c>
      <c r="E89" s="834">
        <v>30</v>
      </c>
      <c r="F89" s="814">
        <v>30</v>
      </c>
      <c r="G89" s="834">
        <v>20</v>
      </c>
      <c r="H89" s="842">
        <v>20</v>
      </c>
      <c r="I89" s="878">
        <v>20</v>
      </c>
      <c r="J89" s="842">
        <v>20</v>
      </c>
      <c r="K89" s="878">
        <v>20</v>
      </c>
      <c r="L89" s="576">
        <v>20</v>
      </c>
      <c r="M89" s="814"/>
      <c r="N89" s="834">
        <v>0</v>
      </c>
      <c r="O89" s="576">
        <v>0</v>
      </c>
      <c r="P89" s="576">
        <v>0</v>
      </c>
      <c r="Q89" s="871"/>
      <c r="R89" s="28"/>
    </row>
    <row r="90" spans="1:18" ht="13.7" customHeight="1" x14ac:dyDescent="0.2">
      <c r="A90" s="17"/>
      <c r="B90" s="841">
        <v>9921</v>
      </c>
      <c r="C90" s="680">
        <f t="shared" si="1"/>
        <v>68</v>
      </c>
      <c r="D90" s="17" t="s">
        <v>3606</v>
      </c>
      <c r="E90" s="834">
        <v>10</v>
      </c>
      <c r="F90" s="814">
        <v>10</v>
      </c>
      <c r="G90" s="834">
        <v>10</v>
      </c>
      <c r="H90" s="842">
        <v>10</v>
      </c>
      <c r="I90" s="878">
        <v>10</v>
      </c>
      <c r="J90" s="842">
        <v>10</v>
      </c>
      <c r="K90" s="878">
        <v>10</v>
      </c>
      <c r="L90" s="576">
        <v>10</v>
      </c>
      <c r="M90" s="814"/>
      <c r="N90" s="834">
        <v>0</v>
      </c>
      <c r="O90" s="576">
        <v>0</v>
      </c>
      <c r="P90" s="576">
        <v>0</v>
      </c>
      <c r="Q90" s="871"/>
      <c r="R90" s="28"/>
    </row>
    <row r="91" spans="1:18" ht="13.7" customHeight="1" x14ac:dyDescent="0.2">
      <c r="A91" s="17"/>
      <c r="B91" s="841">
        <v>8000</v>
      </c>
      <c r="C91" s="680">
        <f t="shared" si="1"/>
        <v>69</v>
      </c>
      <c r="D91" s="17" t="s">
        <v>4498</v>
      </c>
      <c r="E91" s="834">
        <v>20</v>
      </c>
      <c r="F91" s="814">
        <v>0</v>
      </c>
      <c r="G91" s="834">
        <v>20</v>
      </c>
      <c r="H91" s="842">
        <v>0</v>
      </c>
      <c r="I91" s="878">
        <v>0</v>
      </c>
      <c r="J91" s="842">
        <v>0</v>
      </c>
      <c r="K91" s="878">
        <v>0</v>
      </c>
      <c r="L91" s="576">
        <v>0</v>
      </c>
      <c r="M91" s="814"/>
      <c r="N91" s="834">
        <f>0.41-0.31</f>
        <v>9.9999999999999978E-2</v>
      </c>
      <c r="O91" s="576">
        <f>1.93-1.5</f>
        <v>0.42999999999999994</v>
      </c>
      <c r="P91" s="576">
        <f>0.15-0.11</f>
        <v>3.9999999999999994E-2</v>
      </c>
      <c r="Q91" s="871"/>
      <c r="R91" s="28"/>
    </row>
    <row r="92" spans="1:18" ht="13.7" customHeight="1" x14ac:dyDescent="0.2">
      <c r="A92" s="17"/>
      <c r="B92" s="841">
        <v>8001</v>
      </c>
      <c r="C92" s="680">
        <f t="shared" si="1"/>
        <v>70</v>
      </c>
      <c r="D92" s="17" t="s">
        <v>4499</v>
      </c>
      <c r="E92" s="834">
        <v>20</v>
      </c>
      <c r="F92" s="814">
        <v>0</v>
      </c>
      <c r="G92" s="834">
        <v>20</v>
      </c>
      <c r="H92" s="842">
        <v>0</v>
      </c>
      <c r="I92" s="878">
        <v>10</v>
      </c>
      <c r="J92" s="842">
        <v>10</v>
      </c>
      <c r="K92" s="878">
        <v>10</v>
      </c>
      <c r="L92" s="576">
        <v>10</v>
      </c>
      <c r="M92" s="814"/>
      <c r="N92" s="834">
        <f>0.52-0.33</f>
        <v>0.19</v>
      </c>
      <c r="O92" s="576">
        <f>1.8-1.31</f>
        <v>0.49</v>
      </c>
      <c r="P92" s="576">
        <f>0.14-0.09</f>
        <v>5.0000000000000017E-2</v>
      </c>
      <c r="Q92" s="871"/>
      <c r="R92" s="28"/>
    </row>
    <row r="93" spans="1:18" ht="13.7" customHeight="1" x14ac:dyDescent="0.2">
      <c r="A93" s="17"/>
      <c r="B93" s="841">
        <v>6010</v>
      </c>
      <c r="C93" s="680">
        <f t="shared" si="1"/>
        <v>71</v>
      </c>
      <c r="D93" s="17" t="s">
        <v>3424</v>
      </c>
      <c r="E93" s="834">
        <v>40</v>
      </c>
      <c r="F93" s="814">
        <v>40</v>
      </c>
      <c r="G93" s="834">
        <v>30</v>
      </c>
      <c r="H93" s="842">
        <v>30</v>
      </c>
      <c r="I93" s="878">
        <v>20</v>
      </c>
      <c r="J93" s="842">
        <v>20</v>
      </c>
      <c r="K93" s="878">
        <v>20</v>
      </c>
      <c r="L93" s="576">
        <v>20</v>
      </c>
      <c r="M93" s="814"/>
      <c r="N93" s="834"/>
      <c r="Q93" s="871"/>
      <c r="R93" s="28"/>
    </row>
    <row r="94" spans="1:18" ht="13.7" customHeight="1" x14ac:dyDescent="0.2">
      <c r="A94" s="17"/>
      <c r="B94" s="841">
        <v>6011</v>
      </c>
      <c r="C94" s="680">
        <f t="shared" si="1"/>
        <v>72</v>
      </c>
      <c r="D94" s="17" t="s">
        <v>3425</v>
      </c>
      <c r="E94" s="834">
        <v>40</v>
      </c>
      <c r="F94" s="814">
        <v>40</v>
      </c>
      <c r="G94" s="834">
        <v>30</v>
      </c>
      <c r="H94" s="842">
        <v>30</v>
      </c>
      <c r="I94" s="878">
        <v>20</v>
      </c>
      <c r="J94" s="842">
        <v>20</v>
      </c>
      <c r="K94" s="878">
        <v>20</v>
      </c>
      <c r="L94" s="576">
        <v>20</v>
      </c>
      <c r="M94" s="814"/>
      <c r="N94" s="834"/>
      <c r="Q94" s="871"/>
      <c r="R94" s="28"/>
    </row>
    <row r="95" spans="1:18" ht="13.7" customHeight="1" x14ac:dyDescent="0.2">
      <c r="A95" s="17"/>
      <c r="B95" s="841">
        <v>6012</v>
      </c>
      <c r="C95" s="680">
        <f t="shared" si="1"/>
        <v>73</v>
      </c>
      <c r="D95" s="17" t="s">
        <v>3426</v>
      </c>
      <c r="E95" s="834">
        <v>40</v>
      </c>
      <c r="F95" s="814">
        <v>40</v>
      </c>
      <c r="G95" s="834">
        <v>30</v>
      </c>
      <c r="H95" s="842">
        <v>30</v>
      </c>
      <c r="I95" s="878">
        <v>20</v>
      </c>
      <c r="J95" s="842">
        <v>20</v>
      </c>
      <c r="K95" s="878">
        <v>20</v>
      </c>
      <c r="L95" s="576">
        <v>20</v>
      </c>
      <c r="M95" s="814"/>
      <c r="N95" s="834"/>
      <c r="Q95" s="871"/>
      <c r="R95" s="28"/>
    </row>
    <row r="96" spans="1:18" ht="13.7" customHeight="1" x14ac:dyDescent="0.2">
      <c r="A96" s="17"/>
      <c r="B96" s="841">
        <v>6013</v>
      </c>
      <c r="C96" s="680">
        <f t="shared" si="1"/>
        <v>74</v>
      </c>
      <c r="D96" s="17" t="s">
        <v>3427</v>
      </c>
      <c r="E96" s="834">
        <v>40</v>
      </c>
      <c r="F96" s="814">
        <v>40</v>
      </c>
      <c r="G96" s="834">
        <v>30</v>
      </c>
      <c r="H96" s="842">
        <v>30</v>
      </c>
      <c r="I96" s="878">
        <v>20</v>
      </c>
      <c r="J96" s="842">
        <v>20</v>
      </c>
      <c r="K96" s="878">
        <v>20</v>
      </c>
      <c r="L96" s="576">
        <v>20</v>
      </c>
      <c r="M96" s="814"/>
      <c r="N96" s="834"/>
      <c r="Q96" s="871"/>
      <c r="R96" s="28"/>
    </row>
    <row r="97" spans="1:18" ht="13.7" customHeight="1" x14ac:dyDescent="0.2">
      <c r="A97" s="17"/>
      <c r="B97" s="841">
        <v>6014</v>
      </c>
      <c r="C97" s="680">
        <f t="shared" si="1"/>
        <v>75</v>
      </c>
      <c r="D97" s="17" t="s">
        <v>3428</v>
      </c>
      <c r="E97" s="834">
        <v>40</v>
      </c>
      <c r="F97" s="814">
        <v>40</v>
      </c>
      <c r="G97" s="834">
        <v>30</v>
      </c>
      <c r="H97" s="842">
        <v>30</v>
      </c>
      <c r="I97" s="878">
        <v>20</v>
      </c>
      <c r="J97" s="842">
        <v>20</v>
      </c>
      <c r="K97" s="878">
        <v>20</v>
      </c>
      <c r="L97" s="576">
        <v>20</v>
      </c>
      <c r="M97" s="814"/>
      <c r="N97" s="834"/>
      <c r="Q97" s="871"/>
      <c r="R97" s="28"/>
    </row>
    <row r="98" spans="1:18" ht="13.7" customHeight="1" x14ac:dyDescent="0.2">
      <c r="A98" s="17"/>
      <c r="B98" s="841">
        <v>6015</v>
      </c>
      <c r="C98" s="680">
        <f t="shared" si="1"/>
        <v>76</v>
      </c>
      <c r="D98" s="17" t="s">
        <v>3429</v>
      </c>
      <c r="E98" s="834">
        <v>40</v>
      </c>
      <c r="F98" s="814">
        <v>40</v>
      </c>
      <c r="G98" s="834">
        <v>30</v>
      </c>
      <c r="H98" s="842">
        <v>30</v>
      </c>
      <c r="I98" s="878">
        <v>20</v>
      </c>
      <c r="J98" s="842">
        <v>20</v>
      </c>
      <c r="K98" s="878">
        <v>20</v>
      </c>
      <c r="L98" s="576">
        <v>20</v>
      </c>
      <c r="M98" s="814"/>
      <c r="N98" s="834"/>
      <c r="Q98" s="871"/>
      <c r="R98" s="28"/>
    </row>
    <row r="99" spans="1:18" ht="13.7" customHeight="1" x14ac:dyDescent="0.2">
      <c r="A99" s="17"/>
      <c r="B99" s="841">
        <v>6020</v>
      </c>
      <c r="C99" s="680">
        <f t="shared" si="1"/>
        <v>77</v>
      </c>
      <c r="D99" s="17" t="s">
        <v>3430</v>
      </c>
      <c r="E99" s="834">
        <v>40</v>
      </c>
      <c r="F99" s="814">
        <v>40</v>
      </c>
      <c r="G99" s="834">
        <v>30</v>
      </c>
      <c r="H99" s="842">
        <v>30</v>
      </c>
      <c r="I99" s="878">
        <v>20</v>
      </c>
      <c r="J99" s="842">
        <v>20</v>
      </c>
      <c r="K99" s="878">
        <v>20</v>
      </c>
      <c r="L99" s="576">
        <v>20</v>
      </c>
      <c r="M99" s="814"/>
      <c r="N99" s="834"/>
      <c r="Q99" s="871"/>
      <c r="R99" s="28"/>
    </row>
    <row r="100" spans="1:18" ht="13.7" customHeight="1" x14ac:dyDescent="0.2">
      <c r="A100" s="17"/>
      <c r="B100" s="841">
        <v>6030</v>
      </c>
      <c r="C100" s="680">
        <f t="shared" si="1"/>
        <v>78</v>
      </c>
      <c r="D100" s="17" t="s">
        <v>3431</v>
      </c>
      <c r="E100" s="834">
        <v>40</v>
      </c>
      <c r="F100" s="814">
        <v>40</v>
      </c>
      <c r="G100" s="834">
        <v>30</v>
      </c>
      <c r="H100" s="842">
        <v>30</v>
      </c>
      <c r="I100" s="878">
        <v>20</v>
      </c>
      <c r="J100" s="842">
        <v>20</v>
      </c>
      <c r="K100" s="878">
        <v>20</v>
      </c>
      <c r="L100" s="576">
        <v>20</v>
      </c>
      <c r="M100" s="814"/>
      <c r="N100" s="834"/>
      <c r="Q100" s="871"/>
      <c r="R100" s="28"/>
    </row>
    <row r="101" spans="1:18" ht="13.7" customHeight="1" x14ac:dyDescent="0.2">
      <c r="A101" s="17"/>
      <c r="B101" s="841">
        <v>6031</v>
      </c>
      <c r="C101" s="680">
        <f t="shared" si="1"/>
        <v>79</v>
      </c>
      <c r="D101" s="17" t="s">
        <v>3432</v>
      </c>
      <c r="E101" s="834">
        <v>40</v>
      </c>
      <c r="F101" s="814">
        <v>40</v>
      </c>
      <c r="G101" s="834">
        <v>30</v>
      </c>
      <c r="H101" s="842">
        <v>30</v>
      </c>
      <c r="I101" s="878">
        <v>20</v>
      </c>
      <c r="J101" s="842">
        <v>20</v>
      </c>
      <c r="K101" s="878">
        <v>20</v>
      </c>
      <c r="L101" s="576">
        <v>20</v>
      </c>
      <c r="M101" s="814"/>
      <c r="N101" s="834"/>
      <c r="Q101" s="871"/>
      <c r="R101" s="28"/>
    </row>
    <row r="102" spans="1:18" ht="13.7" customHeight="1" x14ac:dyDescent="0.2">
      <c r="A102" s="17"/>
      <c r="B102" s="841">
        <v>6021</v>
      </c>
      <c r="C102" s="680">
        <f t="shared" si="1"/>
        <v>80</v>
      </c>
      <c r="D102" s="17" t="s">
        <v>3433</v>
      </c>
      <c r="E102" s="834">
        <v>40</v>
      </c>
      <c r="F102" s="814">
        <v>40</v>
      </c>
      <c r="G102" s="834">
        <v>30</v>
      </c>
      <c r="H102" s="842">
        <v>30</v>
      </c>
      <c r="I102" s="878">
        <v>20</v>
      </c>
      <c r="J102" s="842">
        <v>20</v>
      </c>
      <c r="K102" s="878">
        <v>20</v>
      </c>
      <c r="L102" s="576">
        <v>20</v>
      </c>
      <c r="M102" s="814"/>
      <c r="N102" s="834"/>
      <c r="Q102" s="871"/>
      <c r="R102" s="28"/>
    </row>
    <row r="103" spans="1:18" ht="13.7" customHeight="1" x14ac:dyDescent="0.2">
      <c r="A103" s="17"/>
      <c r="B103" s="841">
        <v>6040</v>
      </c>
      <c r="C103" s="680">
        <f t="shared" si="1"/>
        <v>81</v>
      </c>
      <c r="D103" s="17" t="s">
        <v>3434</v>
      </c>
      <c r="E103" s="834">
        <v>30</v>
      </c>
      <c r="F103" s="814">
        <v>30</v>
      </c>
      <c r="G103" s="834">
        <v>20</v>
      </c>
      <c r="H103" s="842">
        <v>20</v>
      </c>
      <c r="I103" s="878">
        <v>10</v>
      </c>
      <c r="J103" s="842">
        <v>10</v>
      </c>
      <c r="K103" s="878">
        <v>10</v>
      </c>
      <c r="L103" s="576">
        <v>10</v>
      </c>
      <c r="M103" s="814"/>
      <c r="N103" s="834"/>
      <c r="Q103" s="871"/>
      <c r="R103" s="28"/>
    </row>
    <row r="104" spans="1:18" ht="13.7" customHeight="1" x14ac:dyDescent="0.2">
      <c r="A104" s="17"/>
      <c r="B104" s="841">
        <v>6041</v>
      </c>
      <c r="C104" s="680">
        <f t="shared" si="1"/>
        <v>82</v>
      </c>
      <c r="D104" s="17" t="s">
        <v>3435</v>
      </c>
      <c r="E104" s="834">
        <v>30</v>
      </c>
      <c r="F104" s="814">
        <v>30</v>
      </c>
      <c r="G104" s="834">
        <v>20</v>
      </c>
      <c r="H104" s="842">
        <v>20</v>
      </c>
      <c r="I104" s="878">
        <v>10</v>
      </c>
      <c r="J104" s="842">
        <v>10</v>
      </c>
      <c r="K104" s="878">
        <v>10</v>
      </c>
      <c r="L104" s="576">
        <v>10</v>
      </c>
      <c r="M104" s="814"/>
      <c r="N104" s="834"/>
      <c r="Q104" s="871"/>
      <c r="R104" s="28"/>
    </row>
    <row r="105" spans="1:18" ht="13.7" customHeight="1" x14ac:dyDescent="0.2">
      <c r="A105" s="17"/>
      <c r="B105" s="841">
        <v>6050</v>
      </c>
      <c r="C105" s="680">
        <f t="shared" si="1"/>
        <v>83</v>
      </c>
      <c r="D105" s="17" t="s">
        <v>3436</v>
      </c>
      <c r="E105" s="834">
        <v>30</v>
      </c>
      <c r="F105" s="814">
        <v>30</v>
      </c>
      <c r="G105" s="834">
        <v>20</v>
      </c>
      <c r="H105" s="842">
        <v>20</v>
      </c>
      <c r="I105" s="878">
        <v>20</v>
      </c>
      <c r="J105" s="842">
        <v>20</v>
      </c>
      <c r="K105" s="878">
        <v>20</v>
      </c>
      <c r="L105" s="576">
        <v>20</v>
      </c>
      <c r="M105" s="814"/>
      <c r="N105" s="834"/>
      <c r="Q105" s="871"/>
      <c r="R105" s="28"/>
    </row>
    <row r="106" spans="1:18" ht="13.7" customHeight="1" x14ac:dyDescent="0.2">
      <c r="A106" s="17"/>
      <c r="B106" s="841">
        <v>6051</v>
      </c>
      <c r="C106" s="680">
        <f t="shared" si="1"/>
        <v>84</v>
      </c>
      <c r="D106" s="17" t="s">
        <v>3318</v>
      </c>
      <c r="E106" s="834">
        <v>30</v>
      </c>
      <c r="F106" s="814">
        <v>30</v>
      </c>
      <c r="G106" s="834">
        <v>20</v>
      </c>
      <c r="H106" s="842">
        <v>20</v>
      </c>
      <c r="I106" s="878">
        <v>20</v>
      </c>
      <c r="J106" s="842">
        <v>20</v>
      </c>
      <c r="K106" s="878">
        <v>20</v>
      </c>
      <c r="L106" s="576">
        <v>20</v>
      </c>
      <c r="M106" s="814"/>
      <c r="N106" s="834"/>
      <c r="Q106" s="871"/>
      <c r="R106" s="28"/>
    </row>
    <row r="107" spans="1:18" ht="13.7" customHeight="1" x14ac:dyDescent="0.2">
      <c r="A107" s="17"/>
      <c r="B107" s="841">
        <v>9110</v>
      </c>
      <c r="C107" s="680">
        <f t="shared" si="1"/>
        <v>85</v>
      </c>
      <c r="D107" s="17" t="s">
        <v>3607</v>
      </c>
      <c r="E107" s="834"/>
      <c r="F107" s="814"/>
      <c r="G107" s="834"/>
      <c r="H107" s="842"/>
      <c r="I107" s="878"/>
      <c r="J107" s="842"/>
      <c r="K107" s="878"/>
      <c r="M107" s="814"/>
      <c r="N107" s="834"/>
      <c r="Q107" s="871"/>
      <c r="R107" s="28"/>
    </row>
    <row r="108" spans="1:18" ht="13.7" customHeight="1" x14ac:dyDescent="0.2">
      <c r="A108" s="17"/>
      <c r="B108" s="841">
        <v>9120</v>
      </c>
      <c r="C108" s="680">
        <f t="shared" si="1"/>
        <v>86</v>
      </c>
      <c r="D108" s="17" t="s">
        <v>3608</v>
      </c>
      <c r="E108" s="834"/>
      <c r="F108" s="814"/>
      <c r="G108" s="834"/>
      <c r="H108" s="842"/>
      <c r="I108" s="878"/>
      <c r="J108" s="842"/>
      <c r="K108" s="878"/>
      <c r="M108" s="814"/>
      <c r="N108" s="834"/>
      <c r="Q108" s="871"/>
      <c r="R108" s="28"/>
    </row>
    <row r="109" spans="1:18" ht="13.7" customHeight="1" x14ac:dyDescent="0.2">
      <c r="A109" s="17"/>
      <c r="B109" s="841">
        <v>9121</v>
      </c>
      <c r="C109" s="680">
        <f t="shared" si="1"/>
        <v>87</v>
      </c>
      <c r="D109" s="17" t="s">
        <v>3609</v>
      </c>
      <c r="E109" s="834"/>
      <c r="F109" s="814"/>
      <c r="G109" s="834"/>
      <c r="H109" s="842"/>
      <c r="I109" s="878"/>
      <c r="J109" s="842"/>
      <c r="K109" s="878"/>
      <c r="M109" s="814"/>
      <c r="N109" s="834"/>
      <c r="Q109" s="871"/>
      <c r="R109" s="28"/>
    </row>
    <row r="110" spans="1:18" ht="13.7" customHeight="1" x14ac:dyDescent="0.2">
      <c r="A110" s="17"/>
      <c r="B110" s="841">
        <v>9230</v>
      </c>
      <c r="C110" s="680">
        <f t="shared" si="1"/>
        <v>88</v>
      </c>
      <c r="D110" s="17" t="s">
        <v>3610</v>
      </c>
      <c r="E110" s="834"/>
      <c r="F110" s="814"/>
      <c r="G110" s="834"/>
      <c r="H110" s="842"/>
      <c r="I110" s="878"/>
      <c r="J110" s="842"/>
      <c r="K110" s="878"/>
      <c r="M110" s="814"/>
      <c r="N110" s="834"/>
      <c r="Q110" s="871"/>
      <c r="R110" s="28"/>
    </row>
    <row r="111" spans="1:18" ht="13.7" customHeight="1" x14ac:dyDescent="0.2">
      <c r="A111" s="17"/>
      <c r="B111" s="841">
        <v>9220</v>
      </c>
      <c r="C111" s="680">
        <f t="shared" si="1"/>
        <v>89</v>
      </c>
      <c r="D111" s="17" t="s">
        <v>3611</v>
      </c>
      <c r="E111" s="834"/>
      <c r="F111" s="814"/>
      <c r="G111" s="834"/>
      <c r="H111" s="842"/>
      <c r="I111" s="878"/>
      <c r="J111" s="842"/>
      <c r="K111" s="878"/>
      <c r="M111" s="814"/>
      <c r="N111" s="834"/>
      <c r="Q111" s="871"/>
      <c r="R111" s="28"/>
    </row>
    <row r="112" spans="1:18" ht="13.7" customHeight="1" x14ac:dyDescent="0.2">
      <c r="A112" s="17"/>
      <c r="B112" s="841">
        <v>9210</v>
      </c>
      <c r="C112" s="680">
        <f t="shared" si="1"/>
        <v>90</v>
      </c>
      <c r="D112" s="17" t="s">
        <v>3612</v>
      </c>
      <c r="E112" s="834"/>
      <c r="F112" s="814"/>
      <c r="G112" s="834"/>
      <c r="H112" s="842"/>
      <c r="I112" s="878"/>
      <c r="J112" s="842"/>
      <c r="K112" s="878"/>
      <c r="M112" s="814"/>
      <c r="N112" s="834"/>
      <c r="Q112" s="871"/>
      <c r="R112" s="28"/>
    </row>
    <row r="113" spans="1:18" ht="13.7" customHeight="1" x14ac:dyDescent="0.2">
      <c r="A113" s="17"/>
      <c r="B113" s="841">
        <v>9211</v>
      </c>
      <c r="C113" s="680">
        <f t="shared" si="1"/>
        <v>91</v>
      </c>
      <c r="D113" s="17" t="s">
        <v>3613</v>
      </c>
      <c r="E113" s="834"/>
      <c r="F113" s="814"/>
      <c r="G113" s="834"/>
      <c r="H113" s="842"/>
      <c r="I113" s="878"/>
      <c r="J113" s="842"/>
      <c r="K113" s="878"/>
      <c r="M113" s="814"/>
      <c r="N113" s="834"/>
      <c r="Q113" s="871"/>
      <c r="R113" s="28"/>
    </row>
    <row r="114" spans="1:18" ht="13.7" customHeight="1" x14ac:dyDescent="0.2">
      <c r="A114" s="17"/>
      <c r="B114" s="841">
        <v>9212</v>
      </c>
      <c r="C114" s="680">
        <f t="shared" si="1"/>
        <v>92</v>
      </c>
      <c r="D114" s="17" t="s">
        <v>3614</v>
      </c>
      <c r="E114" s="834"/>
      <c r="F114" s="814"/>
      <c r="G114" s="834"/>
      <c r="H114" s="842"/>
      <c r="I114" s="878"/>
      <c r="J114" s="842"/>
      <c r="K114" s="878"/>
      <c r="M114" s="814"/>
      <c r="N114" s="834"/>
      <c r="Q114" s="871"/>
      <c r="R114" s="28"/>
    </row>
    <row r="115" spans="1:18" ht="13.7" customHeight="1" x14ac:dyDescent="0.2">
      <c r="A115" s="17"/>
      <c r="B115" s="841">
        <v>9052</v>
      </c>
      <c r="C115" s="680">
        <f t="shared" si="1"/>
        <v>93</v>
      </c>
      <c r="D115" s="17" t="s">
        <v>4556</v>
      </c>
      <c r="E115" s="834">
        <v>10</v>
      </c>
      <c r="F115" s="814">
        <v>10</v>
      </c>
      <c r="G115" s="834">
        <v>10</v>
      </c>
      <c r="H115" s="842">
        <v>10</v>
      </c>
      <c r="I115" s="878">
        <v>0</v>
      </c>
      <c r="J115" s="842">
        <v>0</v>
      </c>
      <c r="K115" s="878">
        <v>0</v>
      </c>
      <c r="L115" s="576">
        <v>0</v>
      </c>
      <c r="M115" s="814"/>
      <c r="N115" s="834">
        <f>Kulturen!K87-Kulturen!J87</f>
        <v>0.03</v>
      </c>
      <c r="O115" s="576">
        <f>Kulturen!M87-Kulturen!L87</f>
        <v>0.1</v>
      </c>
      <c r="P115" s="576">
        <f>Kulturen!O87-Kulturen!N87</f>
        <v>0.02</v>
      </c>
      <c r="Q115" s="871"/>
      <c r="R115" s="28"/>
    </row>
    <row r="116" spans="1:18" ht="13.7" customHeight="1" x14ac:dyDescent="0.2">
      <c r="A116" s="17"/>
      <c r="B116" s="841"/>
      <c r="C116" s="680">
        <f t="shared" si="1"/>
        <v>94</v>
      </c>
      <c r="D116" s="17" t="s">
        <v>4557</v>
      </c>
      <c r="E116" s="834">
        <v>10</v>
      </c>
      <c r="F116" s="814">
        <v>10</v>
      </c>
      <c r="G116" s="834">
        <v>10</v>
      </c>
      <c r="H116" s="842">
        <v>10</v>
      </c>
      <c r="I116" s="878">
        <v>0</v>
      </c>
      <c r="J116" s="842">
        <v>0</v>
      </c>
      <c r="K116" s="878">
        <v>0</v>
      </c>
      <c r="L116" s="576">
        <v>0</v>
      </c>
      <c r="M116" s="814"/>
      <c r="N116" s="834">
        <f>Kulturen!K88-Kulturen!J88</f>
        <v>9.9999999999999992E-2</v>
      </c>
      <c r="O116" s="576">
        <f>Kulturen!M88-Kulturen!L88</f>
        <v>0.21999999999999997</v>
      </c>
      <c r="P116" s="576">
        <f>Kulturen!O88-Kulturen!N88</f>
        <v>0.08</v>
      </c>
      <c r="Q116" s="871"/>
      <c r="R116" s="28"/>
    </row>
    <row r="117" spans="1:18" ht="13.7" customHeight="1" x14ac:dyDescent="0.2">
      <c r="A117" s="17"/>
      <c r="B117" s="841"/>
      <c r="C117" s="680">
        <f t="shared" si="1"/>
        <v>95</v>
      </c>
      <c r="D117" s="17" t="s">
        <v>4558</v>
      </c>
      <c r="E117" s="834">
        <v>10</v>
      </c>
      <c r="F117" s="814">
        <v>10</v>
      </c>
      <c r="G117" s="834">
        <v>10</v>
      </c>
      <c r="H117" s="842">
        <v>10</v>
      </c>
      <c r="I117" s="878">
        <v>0</v>
      </c>
      <c r="J117" s="842">
        <v>0</v>
      </c>
      <c r="K117" s="878">
        <v>0</v>
      </c>
      <c r="L117" s="576">
        <v>0</v>
      </c>
      <c r="M117" s="814"/>
      <c r="N117" s="834">
        <f>Kulturen!K89-Kulturen!J89</f>
        <v>9.9999999999999992E-2</v>
      </c>
      <c r="O117" s="576">
        <f>Kulturen!M89-Kulturen!L89</f>
        <v>0.21999999999999997</v>
      </c>
      <c r="P117" s="576">
        <f>Kulturen!O89-Kulturen!N89</f>
        <v>0.08</v>
      </c>
      <c r="Q117" s="871"/>
      <c r="R117" s="28"/>
    </row>
    <row r="118" spans="1:18" ht="13.7" customHeight="1" x14ac:dyDescent="0.2">
      <c r="A118" s="17"/>
      <c r="B118" s="841">
        <v>9350</v>
      </c>
      <c r="C118" s="680">
        <f t="shared" si="1"/>
        <v>96</v>
      </c>
      <c r="D118" s="17" t="s">
        <v>3616</v>
      </c>
      <c r="E118" s="834"/>
      <c r="F118" s="814"/>
      <c r="G118" s="834"/>
      <c r="H118" s="842"/>
      <c r="I118" s="878"/>
      <c r="J118" s="842"/>
      <c r="K118" s="878"/>
      <c r="M118" s="814"/>
      <c r="N118" s="834"/>
      <c r="Q118" s="871"/>
      <c r="R118" s="28"/>
    </row>
    <row r="119" spans="1:18" ht="13.7" customHeight="1" x14ac:dyDescent="0.2">
      <c r="A119" s="17"/>
      <c r="B119" s="841">
        <v>9310</v>
      </c>
      <c r="C119" s="680">
        <f t="shared" si="1"/>
        <v>97</v>
      </c>
      <c r="D119" s="17" t="s">
        <v>3617</v>
      </c>
      <c r="E119" s="834"/>
      <c r="F119" s="814"/>
      <c r="G119" s="834"/>
      <c r="H119" s="842"/>
      <c r="I119" s="878"/>
      <c r="J119" s="842"/>
      <c r="K119" s="878"/>
      <c r="M119" s="814"/>
      <c r="N119" s="834"/>
      <c r="Q119" s="871"/>
      <c r="R119" s="28"/>
    </row>
    <row r="120" spans="1:18" ht="13.7" customHeight="1" x14ac:dyDescent="0.2">
      <c r="A120" s="17"/>
      <c r="B120" s="841">
        <v>9330</v>
      </c>
      <c r="C120" s="680">
        <f t="shared" si="1"/>
        <v>98</v>
      </c>
      <c r="D120" s="17" t="s">
        <v>3618</v>
      </c>
      <c r="E120" s="834"/>
      <c r="F120" s="814"/>
      <c r="G120" s="834"/>
      <c r="H120" s="842"/>
      <c r="I120" s="878"/>
      <c r="J120" s="842"/>
      <c r="K120" s="878"/>
      <c r="M120" s="814"/>
      <c r="N120" s="834"/>
      <c r="Q120" s="871"/>
      <c r="R120" s="28"/>
    </row>
    <row r="121" spans="1:18" ht="13.7" customHeight="1" x14ac:dyDescent="0.2">
      <c r="A121" s="17"/>
      <c r="B121" s="841">
        <v>9320</v>
      </c>
      <c r="C121" s="680">
        <f t="shared" si="1"/>
        <v>99</v>
      </c>
      <c r="D121" s="17" t="s">
        <v>3619</v>
      </c>
      <c r="E121" s="834"/>
      <c r="F121" s="814"/>
      <c r="G121" s="834"/>
      <c r="H121" s="842"/>
      <c r="I121" s="878"/>
      <c r="J121" s="842"/>
      <c r="K121" s="878"/>
      <c r="M121" s="814"/>
      <c r="N121" s="834"/>
      <c r="Q121" s="871"/>
      <c r="R121" s="28"/>
    </row>
    <row r="122" spans="1:18" ht="13.7" customHeight="1" x14ac:dyDescent="0.2">
      <c r="A122" s="17"/>
      <c r="B122" s="841">
        <v>0</v>
      </c>
      <c r="D122" s="17">
        <v>0</v>
      </c>
      <c r="E122" s="834"/>
      <c r="F122" s="814"/>
      <c r="G122" s="834"/>
      <c r="H122" s="842"/>
      <c r="I122" s="878"/>
      <c r="J122" s="842"/>
      <c r="K122" s="878"/>
      <c r="M122" s="814"/>
      <c r="N122" s="834"/>
      <c r="Q122" s="871"/>
      <c r="R122" s="28"/>
    </row>
    <row r="123" spans="1:18" ht="13.7" customHeight="1" x14ac:dyDescent="0.2">
      <c r="A123" s="17"/>
      <c r="B123" s="841">
        <v>0</v>
      </c>
      <c r="D123" s="17">
        <v>0</v>
      </c>
      <c r="E123" s="834"/>
      <c r="F123" s="814"/>
      <c r="G123" s="834"/>
      <c r="H123" s="842"/>
      <c r="I123" s="878"/>
      <c r="J123" s="842"/>
      <c r="K123" s="878"/>
      <c r="M123" s="814"/>
      <c r="N123" s="834"/>
      <c r="Q123" s="871"/>
      <c r="R123" s="28"/>
    </row>
    <row r="124" spans="1:18" ht="13.7" customHeight="1" x14ac:dyDescent="0.2">
      <c r="A124" s="17"/>
      <c r="B124" s="841">
        <v>0</v>
      </c>
      <c r="D124" s="17">
        <v>0</v>
      </c>
      <c r="E124" s="834"/>
      <c r="F124" s="814"/>
      <c r="G124" s="834"/>
      <c r="H124" s="842"/>
      <c r="I124" s="878"/>
      <c r="J124" s="842"/>
      <c r="K124" s="878"/>
      <c r="M124" s="814"/>
      <c r="N124" s="834"/>
      <c r="Q124" s="871"/>
      <c r="R124" s="28"/>
    </row>
    <row r="125" spans="1:18" ht="13.7" customHeight="1" x14ac:dyDescent="0.2">
      <c r="A125" s="17"/>
      <c r="B125" s="841">
        <v>0</v>
      </c>
      <c r="D125" s="17">
        <v>0</v>
      </c>
      <c r="E125" s="834"/>
      <c r="F125" s="814"/>
      <c r="G125" s="834"/>
      <c r="H125" s="842"/>
      <c r="I125" s="878"/>
      <c r="J125" s="842"/>
      <c r="K125" s="878"/>
      <c r="M125" s="814"/>
      <c r="N125" s="834"/>
      <c r="Q125" s="871"/>
      <c r="R125" s="28"/>
    </row>
    <row r="126" spans="1:18" ht="13.7" customHeight="1" x14ac:dyDescent="0.2">
      <c r="A126" s="17"/>
      <c r="B126" s="841">
        <v>0</v>
      </c>
      <c r="D126" s="17">
        <v>0</v>
      </c>
      <c r="E126" s="834"/>
      <c r="F126" s="814"/>
      <c r="G126" s="834"/>
      <c r="H126" s="842"/>
      <c r="I126" s="878"/>
      <c r="J126" s="842"/>
      <c r="K126" s="878"/>
      <c r="M126" s="814"/>
      <c r="N126" s="834"/>
      <c r="Q126" s="871"/>
      <c r="R126" s="28"/>
    </row>
    <row r="127" spans="1:18" ht="13.7" customHeight="1" x14ac:dyDescent="0.2">
      <c r="A127" s="17"/>
      <c r="B127" s="841">
        <v>0</v>
      </c>
      <c r="D127" s="17">
        <v>0</v>
      </c>
      <c r="E127" s="834"/>
      <c r="F127" s="814"/>
      <c r="G127" s="834"/>
      <c r="H127" s="842"/>
      <c r="I127" s="878"/>
      <c r="J127" s="842"/>
      <c r="K127" s="878"/>
      <c r="M127" s="814"/>
      <c r="N127" s="834"/>
      <c r="Q127" s="871"/>
      <c r="R127" s="28"/>
    </row>
    <row r="128" spans="1:18" ht="13.7" customHeight="1" x14ac:dyDescent="0.2">
      <c r="A128" s="17"/>
      <c r="B128" s="841">
        <v>0</v>
      </c>
      <c r="D128" s="17">
        <v>0</v>
      </c>
      <c r="E128" s="834"/>
      <c r="F128" s="814"/>
      <c r="G128" s="834"/>
      <c r="H128" s="842"/>
      <c r="I128" s="878"/>
      <c r="J128" s="842"/>
      <c r="K128" s="878"/>
      <c r="M128" s="814"/>
      <c r="N128" s="834"/>
      <c r="Q128" s="871"/>
      <c r="R128" s="28"/>
    </row>
    <row r="129" spans="1:18" ht="13.7" customHeight="1" x14ac:dyDescent="0.2">
      <c r="A129" s="17"/>
      <c r="B129" s="841">
        <v>0</v>
      </c>
      <c r="D129" s="17">
        <v>0</v>
      </c>
      <c r="E129" s="834"/>
      <c r="F129" s="814"/>
      <c r="G129" s="834"/>
      <c r="H129" s="842"/>
      <c r="I129" s="878"/>
      <c r="J129" s="842"/>
      <c r="K129" s="878"/>
      <c r="M129" s="814"/>
      <c r="N129" s="834"/>
      <c r="Q129" s="871"/>
      <c r="R129" s="28"/>
    </row>
    <row r="130" spans="1:18" ht="13.7" customHeight="1" x14ac:dyDescent="0.2">
      <c r="A130" s="17"/>
      <c r="B130" s="841">
        <v>0</v>
      </c>
      <c r="D130" s="17">
        <v>0</v>
      </c>
      <c r="E130" s="834"/>
      <c r="F130" s="814"/>
      <c r="G130" s="834"/>
      <c r="H130" s="842"/>
      <c r="I130" s="878"/>
      <c r="J130" s="842"/>
      <c r="K130" s="878"/>
      <c r="M130" s="814"/>
      <c r="N130" s="834"/>
      <c r="Q130" s="871"/>
      <c r="R130" s="28"/>
    </row>
    <row r="131" spans="1:18" ht="13.7" customHeight="1" x14ac:dyDescent="0.2">
      <c r="A131" s="17"/>
      <c r="B131" s="841">
        <v>0</v>
      </c>
      <c r="D131" s="17">
        <v>0</v>
      </c>
      <c r="E131" s="834"/>
      <c r="F131" s="814"/>
      <c r="G131" s="834"/>
      <c r="H131" s="842"/>
      <c r="I131" s="878"/>
      <c r="J131" s="842"/>
      <c r="K131" s="878"/>
      <c r="M131" s="814"/>
      <c r="N131" s="834"/>
      <c r="Q131" s="871"/>
      <c r="R131" s="28"/>
    </row>
    <row r="132" spans="1:18" ht="13.7" customHeight="1" x14ac:dyDescent="0.2">
      <c r="A132" s="17"/>
      <c r="B132" s="841">
        <v>0</v>
      </c>
      <c r="D132" s="17">
        <v>0</v>
      </c>
      <c r="E132" s="834"/>
      <c r="F132" s="814"/>
      <c r="G132" s="834"/>
      <c r="H132" s="842"/>
      <c r="I132" s="878"/>
      <c r="J132" s="842"/>
      <c r="K132" s="878"/>
      <c r="M132" s="814"/>
      <c r="N132" s="834"/>
      <c r="Q132" s="871"/>
      <c r="R132" s="28"/>
    </row>
    <row r="133" spans="1:18" ht="13.7" customHeight="1" x14ac:dyDescent="0.2">
      <c r="A133" s="17"/>
      <c r="B133" s="841"/>
      <c r="D133" s="17"/>
      <c r="E133" s="841"/>
      <c r="F133" s="17"/>
      <c r="G133" s="841"/>
      <c r="H133" s="871"/>
      <c r="I133" s="28"/>
      <c r="J133" s="871"/>
      <c r="K133" s="28"/>
      <c r="L133" s="146"/>
      <c r="M133" s="17"/>
      <c r="N133" s="834"/>
      <c r="Q133" s="871"/>
      <c r="R133" s="28"/>
    </row>
    <row r="134" spans="1:18" ht="13.7" customHeight="1" x14ac:dyDescent="0.2">
      <c r="A134" s="17"/>
      <c r="B134" s="841"/>
      <c r="D134" s="17"/>
      <c r="E134" s="841"/>
      <c r="F134" s="17"/>
      <c r="G134" s="841"/>
      <c r="H134" s="871"/>
      <c r="I134" s="28"/>
      <c r="J134" s="871"/>
      <c r="K134" s="28"/>
      <c r="L134" s="146"/>
      <c r="M134" s="17"/>
      <c r="N134" s="834"/>
      <c r="Q134" s="871"/>
      <c r="R134" s="28"/>
    </row>
    <row r="135" spans="1:18" ht="13.7" customHeight="1" x14ac:dyDescent="0.2">
      <c r="A135" s="17"/>
      <c r="B135" s="843"/>
      <c r="C135" s="1087"/>
      <c r="D135" s="877"/>
      <c r="E135" s="852"/>
      <c r="F135" s="885"/>
      <c r="G135" s="852"/>
      <c r="H135" s="872"/>
      <c r="I135" s="886"/>
      <c r="J135" s="872"/>
      <c r="K135" s="263"/>
      <c r="L135" s="660"/>
      <c r="M135" s="877"/>
      <c r="N135" s="883"/>
      <c r="O135" s="659"/>
      <c r="P135" s="659"/>
      <c r="Q135" s="873"/>
      <c r="R135" s="28"/>
    </row>
    <row r="136" spans="1:18" ht="13.7" customHeight="1" x14ac:dyDescent="0.2">
      <c r="A136" s="17"/>
      <c r="B136" s="840"/>
      <c r="C136" s="1088"/>
      <c r="D136" s="1159" t="s">
        <v>3648</v>
      </c>
      <c r="E136" s="1106"/>
      <c r="F136" s="1159"/>
      <c r="G136" s="1159"/>
      <c r="H136" s="1159"/>
      <c r="I136" s="1159"/>
      <c r="J136" s="1159"/>
      <c r="K136" s="1159"/>
      <c r="L136" s="1159"/>
      <c r="M136" s="1188"/>
      <c r="N136" s="1189" t="s">
        <v>4076</v>
      </c>
      <c r="O136" s="1106"/>
      <c r="P136" s="1106"/>
      <c r="Q136" s="1137"/>
      <c r="R136" s="28"/>
    </row>
    <row r="137" spans="1:18" ht="13.7" customHeight="1" x14ac:dyDescent="0.2">
      <c r="A137" s="17"/>
      <c r="B137" s="841"/>
      <c r="C137" s="1089"/>
      <c r="D137" s="595"/>
      <c r="E137" s="595"/>
      <c r="F137" s="595"/>
      <c r="G137" s="595"/>
      <c r="H137" s="595"/>
      <c r="I137" s="595"/>
      <c r="J137" s="595"/>
      <c r="K137" s="595"/>
      <c r="L137" s="595"/>
      <c r="M137" s="876"/>
      <c r="N137" s="880"/>
      <c r="O137" s="597"/>
      <c r="P137" s="597"/>
      <c r="Q137" s="1138"/>
      <c r="R137" s="28"/>
    </row>
    <row r="138" spans="1:18" ht="13.7" customHeight="1" x14ac:dyDescent="0.2">
      <c r="A138" s="17"/>
      <c r="B138" s="841"/>
      <c r="C138" s="1089"/>
      <c r="D138" s="595"/>
      <c r="E138" s="584" t="s">
        <v>3575</v>
      </c>
      <c r="F138" s="595"/>
      <c r="G138" s="595"/>
      <c r="H138" s="595" t="s">
        <v>4071</v>
      </c>
      <c r="I138" s="595"/>
      <c r="J138" s="595"/>
      <c r="K138" s="595"/>
      <c r="L138" s="595"/>
      <c r="M138" s="876"/>
      <c r="N138" s="967" t="s">
        <v>3820</v>
      </c>
      <c r="O138" s="597"/>
      <c r="P138" s="1190">
        <f>AB_Eingabe!M60</f>
        <v>1</v>
      </c>
      <c r="Q138" s="1138"/>
      <c r="R138" s="28"/>
    </row>
    <row r="139" spans="1:18" ht="13.7" customHeight="1" x14ac:dyDescent="0.2">
      <c r="A139" s="17"/>
      <c r="B139" s="841"/>
      <c r="D139" s="1191">
        <f>COLUMNS($D$139:D139)</f>
        <v>1</v>
      </c>
      <c r="E139" s="680">
        <f>COLUMNS($D$139:E139)</f>
        <v>2</v>
      </c>
      <c r="F139" s="595" t="s">
        <v>3706</v>
      </c>
      <c r="G139" s="595"/>
      <c r="H139" s="595" t="s">
        <v>4071</v>
      </c>
      <c r="I139" s="595"/>
      <c r="J139" s="595"/>
      <c r="K139" s="595"/>
      <c r="L139" s="595"/>
      <c r="M139" s="876"/>
      <c r="N139" s="967" t="s">
        <v>3671</v>
      </c>
      <c r="O139" s="597"/>
      <c r="P139" s="1192" t="str">
        <f>VLOOKUP(AB_Eingabe!$M$60,Vorfruechte!$C$23:$P$132,Vorfruechte!$D$2,FALSE)</f>
        <v>Sonstige Vorfrucht</v>
      </c>
      <c r="Q139" s="1138"/>
      <c r="R139" s="28"/>
    </row>
    <row r="140" spans="1:18" ht="13.7" customHeight="1" x14ac:dyDescent="0.2">
      <c r="A140" s="17"/>
      <c r="B140" s="841"/>
      <c r="D140" s="591">
        <v>1</v>
      </c>
      <c r="E140" s="584" t="s">
        <v>3590</v>
      </c>
      <c r="F140" s="595"/>
      <c r="G140" s="595"/>
      <c r="H140" s="595" t="s">
        <v>4071</v>
      </c>
      <c r="I140" s="595"/>
      <c r="J140" s="595"/>
      <c r="K140" s="595"/>
      <c r="L140" s="595"/>
      <c r="M140" s="876"/>
      <c r="N140" s="967" t="s">
        <v>3725</v>
      </c>
      <c r="O140" s="597"/>
      <c r="P140" s="1193">
        <f>Vorfruechte!$E$153</f>
        <v>2</v>
      </c>
      <c r="Q140" s="1138"/>
      <c r="R140" s="28"/>
    </row>
    <row r="141" spans="1:18" ht="13.7" customHeight="1" x14ac:dyDescent="0.2">
      <c r="A141" s="17"/>
      <c r="B141" s="841"/>
      <c r="D141" s="591">
        <v>2</v>
      </c>
      <c r="E141" s="584" t="s">
        <v>3593</v>
      </c>
      <c r="F141" s="595"/>
      <c r="G141" s="595"/>
      <c r="H141" s="595" t="s">
        <v>4071</v>
      </c>
      <c r="I141" s="595"/>
      <c r="J141" s="595"/>
      <c r="K141" s="595"/>
      <c r="L141" s="595"/>
      <c r="M141" s="876"/>
      <c r="N141" s="967" t="s">
        <v>3726</v>
      </c>
      <c r="O141" s="597"/>
      <c r="P141" s="1160" t="str">
        <f>Vorfruechte!$E$154</f>
        <v>Ja</v>
      </c>
      <c r="Q141" s="1138"/>
      <c r="R141" s="28"/>
    </row>
    <row r="142" spans="1:18" ht="13.7" customHeight="1" x14ac:dyDescent="0.2">
      <c r="A142" s="17"/>
      <c r="B142" s="841"/>
      <c r="C142" s="1089"/>
      <c r="D142" s="591"/>
      <c r="E142" s="595"/>
      <c r="F142" s="595"/>
      <c r="G142" s="595"/>
      <c r="H142" s="595"/>
      <c r="I142" s="595"/>
      <c r="J142" s="595"/>
      <c r="K142" s="595"/>
      <c r="L142" s="595"/>
      <c r="M142" s="876"/>
      <c r="N142" s="967" t="s">
        <v>3819</v>
      </c>
      <c r="O142" s="597"/>
      <c r="P142" s="595" t="str">
        <f>AB_Eingabe!C62</f>
        <v>Zwischenfrucht *</v>
      </c>
      <c r="Q142" s="1138" t="s">
        <v>3479</v>
      </c>
      <c r="R142" s="28"/>
    </row>
    <row r="143" spans="1:18" ht="13.7" customHeight="1" x14ac:dyDescent="0.2">
      <c r="A143" s="17"/>
      <c r="B143" s="841"/>
      <c r="D143" s="584"/>
      <c r="E143" s="595"/>
      <c r="F143" s="595"/>
      <c r="G143" s="595"/>
      <c r="H143" s="595"/>
      <c r="I143" s="595"/>
      <c r="J143" s="595"/>
      <c r="K143" s="595"/>
      <c r="L143" s="595"/>
      <c r="M143" s="876"/>
      <c r="N143" s="967"/>
      <c r="O143" s="597"/>
      <c r="P143" s="595"/>
      <c r="Q143" s="1138"/>
      <c r="R143" s="28"/>
    </row>
    <row r="144" spans="1:18" ht="13.7" customHeight="1" x14ac:dyDescent="0.2">
      <c r="A144" s="17"/>
      <c r="B144" s="841"/>
      <c r="D144" s="595"/>
      <c r="E144" s="595"/>
      <c r="F144" s="595"/>
      <c r="G144" s="595"/>
      <c r="H144" s="595"/>
      <c r="I144" s="595"/>
      <c r="J144" s="595"/>
      <c r="K144" s="595"/>
      <c r="L144" s="595"/>
      <c r="M144" s="876"/>
      <c r="N144" s="967" t="s">
        <v>3818</v>
      </c>
      <c r="O144" s="595"/>
      <c r="P144" s="1194">
        <f>VLOOKUP(E147,Vorfruechte!$C$23:$P$132,Vorfruechte!$N$2,FALSE)</f>
        <v>0</v>
      </c>
      <c r="Q144" s="1138" t="s">
        <v>3478</v>
      </c>
      <c r="R144" s="28"/>
    </row>
    <row r="145" spans="1:18" ht="13.7" customHeight="1" x14ac:dyDescent="0.2">
      <c r="A145" s="17"/>
      <c r="B145" s="841"/>
      <c r="D145" s="595" t="s">
        <v>4071</v>
      </c>
      <c r="E145" s="595"/>
      <c r="F145" s="595"/>
      <c r="G145" s="595"/>
      <c r="H145" s="595"/>
      <c r="I145" s="595"/>
      <c r="J145" s="595"/>
      <c r="K145" s="595"/>
      <c r="L145" s="595"/>
      <c r="M145" s="876"/>
      <c r="N145" s="967" t="s">
        <v>3821</v>
      </c>
      <c r="O145" s="595"/>
      <c r="P145" s="595">
        <f>IF($P$140=1,$P$142*$P$144,0)</f>
        <v>0</v>
      </c>
      <c r="Q145" s="1138" t="s">
        <v>3703</v>
      </c>
      <c r="R145" s="28"/>
    </row>
    <row r="146" spans="1:18" ht="13.7" customHeight="1" x14ac:dyDescent="0.2">
      <c r="A146" s="17"/>
      <c r="B146" s="841"/>
      <c r="D146" s="595"/>
      <c r="E146" s="595"/>
      <c r="F146" s="595"/>
      <c r="G146" s="595"/>
      <c r="H146" s="595"/>
      <c r="I146" s="595"/>
      <c r="J146" s="595"/>
      <c r="K146" s="595"/>
      <c r="L146" s="595"/>
      <c r="M146" s="876"/>
      <c r="N146" s="967"/>
      <c r="O146" s="597"/>
      <c r="P146" s="595"/>
      <c r="Q146" s="1138"/>
      <c r="R146" s="28"/>
    </row>
    <row r="147" spans="1:18" ht="13.7" customHeight="1" x14ac:dyDescent="0.2">
      <c r="A147" s="17"/>
      <c r="B147" s="841"/>
      <c r="D147" s="595" t="s">
        <v>3710</v>
      </c>
      <c r="E147" s="1161">
        <f>AB_Eingabe!$M$60</f>
        <v>1</v>
      </c>
      <c r="F147" s="595"/>
      <c r="G147" s="595"/>
      <c r="H147" s="597"/>
      <c r="I147" s="595"/>
      <c r="J147" s="595"/>
      <c r="K147" s="595"/>
      <c r="L147" s="595"/>
      <c r="M147" s="876"/>
      <c r="N147" s="967" t="s">
        <v>3822</v>
      </c>
      <c r="O147" s="595"/>
      <c r="P147" s="1194">
        <f>VLOOKUP(E147,Vorfruechte!$C$23:$P$132,Vorfruechte!$O$2,FALSE)</f>
        <v>0</v>
      </c>
      <c r="Q147" s="1138" t="s">
        <v>3478</v>
      </c>
      <c r="R147" s="28"/>
    </row>
    <row r="148" spans="1:18" ht="13.7" customHeight="1" x14ac:dyDescent="0.2">
      <c r="A148" s="17"/>
      <c r="B148" s="841"/>
      <c r="D148" s="1160" t="s">
        <v>3719</v>
      </c>
      <c r="E148" s="595" t="str">
        <f>VLOOKUP($E$147,$C$23:$L$132,$D$2,FALSE)</f>
        <v>Sonstige Vorfrucht</v>
      </c>
      <c r="F148" s="595"/>
      <c r="G148" s="595"/>
      <c r="H148" s="595"/>
      <c r="I148" s="595"/>
      <c r="J148" s="595"/>
      <c r="K148" s="595"/>
      <c r="L148" s="595"/>
      <c r="M148" s="876"/>
      <c r="N148" s="967" t="s">
        <v>3823</v>
      </c>
      <c r="O148" s="595"/>
      <c r="P148" s="595">
        <f>IF($P$140=1,$P$142*$P$147,0)</f>
        <v>0</v>
      </c>
      <c r="Q148" s="1138" t="s">
        <v>3703</v>
      </c>
      <c r="R148" s="28"/>
    </row>
    <row r="149" spans="1:18" ht="13.7" customHeight="1" x14ac:dyDescent="0.2">
      <c r="A149" s="17"/>
      <c r="B149" s="841"/>
      <c r="D149" s="595" t="s">
        <v>3718</v>
      </c>
      <c r="E149" s="1195" t="str">
        <f>VLOOKUP(AB_Eingabe!$M$21,Kulturen!E12:AJ77,Kulturen!F8,FALSE)</f>
        <v>auswählen !</v>
      </c>
      <c r="F149" s="595"/>
      <c r="G149" s="595"/>
      <c r="H149" s="595"/>
      <c r="I149" s="595"/>
      <c r="J149" s="595"/>
      <c r="K149" s="595"/>
      <c r="L149" s="595"/>
      <c r="M149" s="876"/>
      <c r="N149" s="967"/>
      <c r="O149" s="597"/>
      <c r="P149" s="595"/>
      <c r="Q149" s="1138"/>
      <c r="R149" s="28"/>
    </row>
    <row r="150" spans="1:18" ht="13.7" customHeight="1" x14ac:dyDescent="0.2">
      <c r="A150" s="17"/>
      <c r="B150" s="841"/>
      <c r="D150" s="595" t="s">
        <v>3722</v>
      </c>
      <c r="E150" s="1161">
        <f>VLOOKUP(AB_Eingabe!$M$21,Kulturen!$E$12:$AJ$93,Kulturen!$AJ$8,FALSE)</f>
        <v>0</v>
      </c>
      <c r="F150" s="595"/>
      <c r="G150" s="595"/>
      <c r="H150" s="595"/>
      <c r="I150" s="595"/>
      <c r="J150" s="595"/>
      <c r="K150" s="595"/>
      <c r="L150" s="595"/>
      <c r="M150" s="876"/>
      <c r="N150" s="967" t="s">
        <v>3824</v>
      </c>
      <c r="O150" s="595"/>
      <c r="P150" s="1194">
        <f>VLOOKUP(E147,Vorfruechte!$C$23:$P$132,Vorfruechte!$P$2,FALSE)</f>
        <v>0</v>
      </c>
      <c r="Q150" s="1138" t="s">
        <v>3478</v>
      </c>
      <c r="R150" s="28"/>
    </row>
    <row r="151" spans="1:18" ht="13.7" customHeight="1" x14ac:dyDescent="0.2">
      <c r="A151" s="17"/>
      <c r="B151" s="841"/>
      <c r="D151" s="595"/>
      <c r="E151" s="595"/>
      <c r="F151" s="595"/>
      <c r="G151" s="595"/>
      <c r="H151" s="595"/>
      <c r="I151" s="595"/>
      <c r="J151" s="595"/>
      <c r="K151" s="595"/>
      <c r="L151" s="595"/>
      <c r="M151" s="876"/>
      <c r="N151" s="967" t="s">
        <v>3825</v>
      </c>
      <c r="O151" s="595"/>
      <c r="P151" s="595">
        <f>IF($P$140=1,$P$142*$P$150,0)</f>
        <v>0</v>
      </c>
      <c r="Q151" s="1138" t="s">
        <v>3703</v>
      </c>
      <c r="R151" s="28"/>
    </row>
    <row r="152" spans="1:18" ht="13.7" customHeight="1" x14ac:dyDescent="0.2">
      <c r="A152" s="17"/>
      <c r="B152" s="841"/>
      <c r="D152" s="1160" t="s">
        <v>3721</v>
      </c>
      <c r="E152" s="595"/>
      <c r="F152" s="595"/>
      <c r="G152" s="595"/>
      <c r="H152" s="595"/>
      <c r="I152" s="595"/>
      <c r="J152" s="595"/>
      <c r="K152" s="595"/>
      <c r="L152" s="595"/>
      <c r="M152" s="876"/>
      <c r="N152" s="880"/>
      <c r="O152" s="597"/>
      <c r="P152" s="597"/>
      <c r="Q152" s="1138"/>
      <c r="R152" s="28"/>
    </row>
    <row r="153" spans="1:18" ht="13.7" customHeight="1" x14ac:dyDescent="0.2">
      <c r="A153" s="17"/>
      <c r="B153" s="841"/>
      <c r="D153" s="596" t="s">
        <v>3705</v>
      </c>
      <c r="E153" s="1161">
        <f>AB_Eingabe!$M$62</f>
        <v>2</v>
      </c>
      <c r="F153" s="595">
        <f>$E$153*10</f>
        <v>20</v>
      </c>
      <c r="G153" s="595"/>
      <c r="H153" s="595"/>
      <c r="I153" s="595"/>
      <c r="J153" s="595"/>
      <c r="K153" s="595"/>
      <c r="L153" s="595"/>
      <c r="M153" s="876"/>
      <c r="N153" s="880"/>
      <c r="O153" s="597"/>
      <c r="P153" s="597"/>
      <c r="Q153" s="1138"/>
      <c r="R153" s="28"/>
    </row>
    <row r="154" spans="1:18" ht="13.7" customHeight="1" x14ac:dyDescent="0.2">
      <c r="A154" s="17"/>
      <c r="B154" s="841"/>
      <c r="D154" s="596" t="s">
        <v>3720</v>
      </c>
      <c r="E154" s="584" t="str">
        <f>VLOOKUP($E$153,$D$140:$E$141,$E$139,FALSE)</f>
        <v>Ja</v>
      </c>
      <c r="F154" s="595"/>
      <c r="G154" s="595"/>
      <c r="H154" s="595"/>
      <c r="I154" s="595"/>
      <c r="J154" s="595"/>
      <c r="K154" s="595"/>
      <c r="L154" s="595"/>
      <c r="M154" s="876"/>
      <c r="N154" s="880"/>
      <c r="O154" s="597"/>
      <c r="P154" s="597"/>
      <c r="Q154" s="1138"/>
      <c r="R154" s="28"/>
    </row>
    <row r="155" spans="1:18" ht="13.7" customHeight="1" x14ac:dyDescent="0.2">
      <c r="A155" s="17"/>
      <c r="B155" s="841"/>
      <c r="D155" s="595"/>
      <c r="E155" s="595"/>
      <c r="F155" s="595"/>
      <c r="G155" s="595"/>
      <c r="H155" s="595"/>
      <c r="I155" s="595"/>
      <c r="J155" s="595"/>
      <c r="K155" s="595"/>
      <c r="L155" s="595"/>
      <c r="M155" s="876"/>
      <c r="N155" s="880"/>
      <c r="O155" s="597"/>
      <c r="P155" s="597"/>
      <c r="Q155" s="1138"/>
      <c r="R155" s="28"/>
    </row>
    <row r="156" spans="1:18" ht="13.7" customHeight="1" x14ac:dyDescent="0.2">
      <c r="A156" s="17"/>
      <c r="B156" s="841"/>
      <c r="D156" s="595" t="s">
        <v>3711</v>
      </c>
      <c r="E156" s="1161">
        <f>AB_Eingabe!$M$68</f>
        <v>2</v>
      </c>
      <c r="F156" s="1190">
        <f>IF($E$150="Mais",$E$156,1)</f>
        <v>1</v>
      </c>
      <c r="G156" s="595" t="s">
        <v>3723</v>
      </c>
      <c r="H156" s="595"/>
      <c r="I156" s="595"/>
      <c r="J156" s="595"/>
      <c r="K156" s="595"/>
      <c r="L156" s="595"/>
      <c r="M156" s="876"/>
      <c r="N156" s="880"/>
      <c r="O156" s="597"/>
      <c r="P156" s="597"/>
      <c r="Q156" s="1138"/>
      <c r="R156" s="28"/>
    </row>
    <row r="157" spans="1:18" ht="13.7" customHeight="1" x14ac:dyDescent="0.2">
      <c r="A157" s="17"/>
      <c r="B157" s="841"/>
      <c r="D157" s="595" t="s">
        <v>3712</v>
      </c>
      <c r="E157" s="595"/>
      <c r="F157" s="595"/>
      <c r="G157" s="595"/>
      <c r="H157" s="595"/>
      <c r="I157" s="595"/>
      <c r="J157" s="595"/>
      <c r="K157" s="595"/>
      <c r="L157" s="595"/>
      <c r="M157" s="876"/>
      <c r="N157" s="880"/>
      <c r="O157" s="597"/>
      <c r="P157" s="597"/>
      <c r="Q157" s="1138"/>
      <c r="R157" s="28"/>
    </row>
    <row r="158" spans="1:18" ht="13.7" customHeight="1" x14ac:dyDescent="0.2">
      <c r="A158" s="17"/>
      <c r="B158" s="841"/>
      <c r="D158" s="595" t="s">
        <v>3713</v>
      </c>
      <c r="E158" s="595"/>
      <c r="F158" s="595"/>
      <c r="G158" s="595"/>
      <c r="H158" s="595"/>
      <c r="I158" s="595"/>
      <c r="J158" s="595"/>
      <c r="K158" s="595"/>
      <c r="L158" s="595"/>
      <c r="M158" s="876"/>
      <c r="N158" s="880"/>
      <c r="O158" s="597"/>
      <c r="P158" s="597"/>
      <c r="Q158" s="1138"/>
      <c r="R158" s="28"/>
    </row>
    <row r="159" spans="1:18" x14ac:dyDescent="0.2">
      <c r="A159" s="17"/>
      <c r="B159" s="841"/>
      <c r="D159" s="595" t="s">
        <v>4600</v>
      </c>
      <c r="E159" s="595"/>
      <c r="F159" s="595"/>
      <c r="G159" s="595"/>
      <c r="H159" s="595"/>
      <c r="I159" s="595"/>
      <c r="J159" s="595"/>
      <c r="K159" s="595"/>
      <c r="L159" s="595"/>
      <c r="M159" s="876"/>
      <c r="N159" s="880"/>
      <c r="O159" s="597"/>
      <c r="P159" s="597"/>
      <c r="Q159" s="1138"/>
      <c r="R159" s="28"/>
    </row>
    <row r="160" spans="1:18" x14ac:dyDescent="0.2">
      <c r="A160" s="17"/>
      <c r="B160" s="841"/>
      <c r="D160" s="595"/>
      <c r="E160" s="595"/>
      <c r="F160" s="595"/>
      <c r="G160" s="595"/>
      <c r="H160" s="595"/>
      <c r="I160" s="595"/>
      <c r="J160" s="595"/>
      <c r="K160" s="595"/>
      <c r="L160" s="595"/>
      <c r="M160" s="876"/>
      <c r="N160" s="880"/>
      <c r="O160" s="597"/>
      <c r="P160" s="597"/>
      <c r="Q160" s="1138"/>
      <c r="R160" s="28"/>
    </row>
    <row r="161" spans="1:18" x14ac:dyDescent="0.2">
      <c r="A161" s="17"/>
      <c r="B161" s="841"/>
      <c r="D161" s="595" t="s">
        <v>3717</v>
      </c>
      <c r="E161" s="595"/>
      <c r="F161" s="1190">
        <f>$F$153+$F$156</f>
        <v>21</v>
      </c>
      <c r="G161" s="595"/>
      <c r="H161" s="595"/>
      <c r="I161" s="595"/>
      <c r="J161" s="595"/>
      <c r="K161" s="595"/>
      <c r="L161" s="595"/>
      <c r="M161" s="876"/>
      <c r="N161" s="880"/>
      <c r="O161" s="597"/>
      <c r="P161" s="597"/>
      <c r="Q161" s="1138"/>
      <c r="R161" s="28"/>
    </row>
    <row r="162" spans="1:18" x14ac:dyDescent="0.2">
      <c r="A162" s="17"/>
      <c r="B162" s="841"/>
      <c r="D162" s="595"/>
      <c r="E162" s="595"/>
      <c r="F162" s="1190"/>
      <c r="G162" s="595"/>
      <c r="H162" s="595"/>
      <c r="I162" s="595"/>
      <c r="J162" s="595"/>
      <c r="K162" s="595"/>
      <c r="L162" s="595"/>
      <c r="M162" s="876"/>
      <c r="N162" s="880"/>
      <c r="O162" s="597"/>
      <c r="P162" s="597"/>
      <c r="Q162" s="1138"/>
      <c r="R162" s="28"/>
    </row>
    <row r="163" spans="1:18" x14ac:dyDescent="0.2">
      <c r="A163" s="17"/>
      <c r="B163" s="841"/>
      <c r="D163" s="1160" t="s">
        <v>4134</v>
      </c>
      <c r="E163" s="595"/>
      <c r="F163" s="595">
        <v>10</v>
      </c>
      <c r="G163" s="595" t="s">
        <v>3309</v>
      </c>
      <c r="H163" s="595"/>
      <c r="I163" s="595"/>
      <c r="J163" s="595"/>
      <c r="K163" s="595"/>
      <c r="L163" s="595"/>
      <c r="M163" s="876"/>
      <c r="N163" s="880"/>
      <c r="O163" s="597"/>
      <c r="P163" s="597"/>
      <c r="Q163" s="1138"/>
      <c r="R163" s="28"/>
    </row>
    <row r="164" spans="1:18" x14ac:dyDescent="0.2">
      <c r="A164" s="17"/>
      <c r="B164" s="841"/>
      <c r="D164" s="595" t="s">
        <v>4072</v>
      </c>
      <c r="E164" s="595"/>
      <c r="F164" s="595">
        <f>IF(E147=1,F163,INDEX($E$21:$H$132,MATCH($E$147,$C$21:$C$132,FALSE),MATCH($F$161,$E$21:$H$21,FALSE)))</f>
        <v>10</v>
      </c>
      <c r="G164" s="595" t="s">
        <v>3309</v>
      </c>
      <c r="H164" s="595"/>
      <c r="I164" s="595"/>
      <c r="J164" s="595"/>
      <c r="K164" s="595"/>
      <c r="L164" s="595"/>
      <c r="M164" s="876"/>
      <c r="N164" s="880"/>
      <c r="O164" s="597"/>
      <c r="P164" s="597"/>
      <c r="Q164" s="1138"/>
      <c r="R164" s="28"/>
    </row>
    <row r="165" spans="1:18" x14ac:dyDescent="0.2">
      <c r="A165" s="17"/>
      <c r="B165" s="841"/>
      <c r="D165" s="595" t="s">
        <v>4150</v>
      </c>
      <c r="E165" s="595"/>
      <c r="F165" s="595">
        <f>IF(E147=1,F163,INDEX($I$21:$L$132,MATCH($E$147,$C$21:$C$132,FALSE),MATCH($F$161,$I$21:$L$21,FALSE)))</f>
        <v>10</v>
      </c>
      <c r="G165" s="595" t="s">
        <v>3309</v>
      </c>
      <c r="H165" s="595"/>
      <c r="I165" s="595"/>
      <c r="J165" s="595"/>
      <c r="K165" s="595"/>
      <c r="L165" s="595"/>
      <c r="M165" s="876"/>
      <c r="N165" s="880"/>
      <c r="O165" s="597"/>
      <c r="P165" s="597"/>
      <c r="Q165" s="1138"/>
      <c r="R165" s="28"/>
    </row>
    <row r="166" spans="1:18" x14ac:dyDescent="0.2">
      <c r="A166" s="17"/>
      <c r="B166" s="841"/>
      <c r="D166" s="595"/>
      <c r="E166" s="595"/>
      <c r="F166" s="595"/>
      <c r="G166" s="595"/>
      <c r="H166" s="595"/>
      <c r="I166" s="595"/>
      <c r="J166" s="595"/>
      <c r="K166" s="595"/>
      <c r="L166" s="595"/>
      <c r="M166" s="876"/>
      <c r="N166" s="880"/>
      <c r="O166" s="597"/>
      <c r="P166" s="597"/>
      <c r="Q166" s="1138"/>
      <c r="R166" s="28"/>
    </row>
    <row r="167" spans="1:18" x14ac:dyDescent="0.2">
      <c r="A167" s="17"/>
      <c r="B167" s="841"/>
      <c r="D167" s="595"/>
      <c r="E167" s="595"/>
      <c r="F167" s="595"/>
      <c r="G167" s="595"/>
      <c r="H167" s="595"/>
      <c r="I167" s="595"/>
      <c r="J167" s="595"/>
      <c r="K167" s="595"/>
      <c r="L167" s="595"/>
      <c r="M167" s="876"/>
      <c r="N167" s="880"/>
      <c r="O167" s="597"/>
      <c r="P167" s="597"/>
      <c r="Q167" s="1138"/>
      <c r="R167" s="28"/>
    </row>
    <row r="168" spans="1:18" x14ac:dyDescent="0.2">
      <c r="A168" s="17"/>
      <c r="B168" s="841"/>
      <c r="D168" s="595"/>
      <c r="E168" s="595"/>
      <c r="F168" s="595"/>
      <c r="G168" s="595"/>
      <c r="H168" s="595"/>
      <c r="I168" s="595"/>
      <c r="J168" s="595"/>
      <c r="K168" s="595"/>
      <c r="L168" s="595"/>
      <c r="M168" s="876"/>
      <c r="N168" s="880"/>
      <c r="O168" s="597"/>
      <c r="P168" s="597"/>
      <c r="Q168" s="1138"/>
      <c r="R168" s="28"/>
    </row>
    <row r="169" spans="1:18" x14ac:dyDescent="0.2">
      <c r="A169" s="17"/>
      <c r="B169" s="841"/>
      <c r="D169" s="595" t="s">
        <v>4077</v>
      </c>
      <c r="E169" s="595"/>
      <c r="F169" s="595"/>
      <c r="G169" s="595"/>
      <c r="H169" s="595"/>
      <c r="I169" s="595"/>
      <c r="J169" s="595"/>
      <c r="K169" s="595"/>
      <c r="L169" s="595"/>
      <c r="M169" s="876"/>
      <c r="N169" s="1108" t="s">
        <v>4078</v>
      </c>
      <c r="O169" s="597"/>
      <c r="P169" s="597"/>
      <c r="Q169" s="1138"/>
      <c r="R169" s="28"/>
    </row>
    <row r="170" spans="1:18" x14ac:dyDescent="0.2">
      <c r="A170" s="17"/>
      <c r="B170" s="841"/>
      <c r="D170" s="595"/>
      <c r="E170" s="595"/>
      <c r="F170" s="595"/>
      <c r="G170" s="595"/>
      <c r="H170" s="595"/>
      <c r="I170" s="595"/>
      <c r="J170" s="595"/>
      <c r="K170" s="595"/>
      <c r="L170" s="595"/>
      <c r="M170" s="876"/>
      <c r="N170" s="880"/>
      <c r="O170" s="597"/>
      <c r="P170" s="597"/>
      <c r="Q170" s="1138"/>
      <c r="R170" s="28"/>
    </row>
    <row r="171" spans="1:18" x14ac:dyDescent="0.2">
      <c r="A171" s="17"/>
      <c r="B171" s="841"/>
      <c r="D171" s="595" t="s">
        <v>3710</v>
      </c>
      <c r="E171" s="1161">
        <f>OR_Eingabe!M53</f>
        <v>1</v>
      </c>
      <c r="F171" s="595"/>
      <c r="G171" s="595"/>
      <c r="H171" s="597"/>
      <c r="I171" s="595"/>
      <c r="J171" s="595"/>
      <c r="K171" s="595"/>
      <c r="L171" s="595"/>
      <c r="M171" s="876"/>
      <c r="N171" s="967" t="s">
        <v>3820</v>
      </c>
      <c r="O171" s="597"/>
      <c r="P171" s="1161">
        <f>E171</f>
        <v>1</v>
      </c>
      <c r="Q171" s="1138"/>
      <c r="R171" s="28"/>
    </row>
    <row r="172" spans="1:18" x14ac:dyDescent="0.2">
      <c r="A172" s="17"/>
      <c r="B172" s="841"/>
      <c r="D172" s="1160" t="s">
        <v>3719</v>
      </c>
      <c r="E172" s="595" t="str">
        <f>VLOOKUP($E$171,$C$23:$L$132,$D$2,FALSE)</f>
        <v>Sonstige Vorfrucht</v>
      </c>
      <c r="F172" s="595"/>
      <c r="G172" s="595"/>
      <c r="H172" s="595"/>
      <c r="I172" s="595"/>
      <c r="J172" s="595"/>
      <c r="K172" s="595"/>
      <c r="L172" s="595"/>
      <c r="M172" s="876"/>
      <c r="N172" s="967" t="s">
        <v>3671</v>
      </c>
      <c r="O172" s="597"/>
      <c r="P172" s="602" t="str">
        <f>E172</f>
        <v>Sonstige Vorfrucht</v>
      </c>
      <c r="Q172" s="1138"/>
      <c r="R172" s="28"/>
    </row>
    <row r="173" spans="1:18" x14ac:dyDescent="0.2">
      <c r="A173" s="17"/>
      <c r="B173" s="841"/>
      <c r="D173" s="595" t="s">
        <v>3718</v>
      </c>
      <c r="E173" s="1161">
        <f>OR_Eingabe!M22</f>
        <v>1</v>
      </c>
      <c r="F173" s="595" t="str">
        <f>Kulturen!H476</f>
        <v>auswählen !</v>
      </c>
      <c r="G173" s="595"/>
      <c r="H173" s="595" t="s">
        <v>4033</v>
      </c>
      <c r="I173" s="597"/>
      <c r="J173" s="597" t="e">
        <f>VLOOKUP(OR_Eingabe!M22,Kulturen!E79:AJ93,Kulturen!AJ8,FALSE)</f>
        <v>#N/A</v>
      </c>
      <c r="K173" s="595"/>
      <c r="L173" s="595"/>
      <c r="M173" s="876"/>
      <c r="N173" s="967" t="s">
        <v>3725</v>
      </c>
      <c r="O173" s="597"/>
      <c r="P173" s="1161">
        <f>E177</f>
        <v>1</v>
      </c>
      <c r="Q173" s="1138"/>
      <c r="R173" s="28"/>
    </row>
    <row r="174" spans="1:18" x14ac:dyDescent="0.2">
      <c r="A174" s="17"/>
      <c r="B174" s="841"/>
      <c r="D174" s="595"/>
      <c r="E174" s="1161"/>
      <c r="F174" s="595"/>
      <c r="G174" s="595"/>
      <c r="H174" s="595"/>
      <c r="I174" s="595"/>
      <c r="J174" s="595"/>
      <c r="K174" s="595"/>
      <c r="L174" s="595"/>
      <c r="M174" s="876"/>
      <c r="N174" s="967" t="s">
        <v>3726</v>
      </c>
      <c r="O174" s="597"/>
      <c r="P174" s="597" t="str">
        <f>E178</f>
        <v>Nein</v>
      </c>
      <c r="Q174" s="1138"/>
      <c r="R174" s="28"/>
    </row>
    <row r="175" spans="1:18" x14ac:dyDescent="0.2">
      <c r="A175" s="17"/>
      <c r="B175" s="841"/>
      <c r="D175" s="595"/>
      <c r="E175" s="595"/>
      <c r="F175" s="595"/>
      <c r="G175" s="595"/>
      <c r="H175" s="595"/>
      <c r="I175" s="595"/>
      <c r="J175" s="595"/>
      <c r="K175" s="595"/>
      <c r="L175" s="595"/>
      <c r="M175" s="876"/>
      <c r="N175" s="967" t="s">
        <v>3819</v>
      </c>
      <c r="O175" s="597"/>
      <c r="P175" s="595">
        <f>OR_Eingabe!C55</f>
        <v>0</v>
      </c>
      <c r="Q175" s="1138" t="s">
        <v>3479</v>
      </c>
      <c r="R175" s="28"/>
    </row>
    <row r="176" spans="1:18" x14ac:dyDescent="0.2">
      <c r="A176" s="17"/>
      <c r="B176" s="841"/>
      <c r="D176" s="1160" t="s">
        <v>3721</v>
      </c>
      <c r="E176" s="595"/>
      <c r="F176" s="595"/>
      <c r="G176" s="595"/>
      <c r="H176" s="595"/>
      <c r="I176" s="595"/>
      <c r="J176" s="595"/>
      <c r="K176" s="595"/>
      <c r="L176" s="595"/>
      <c r="M176" s="876"/>
      <c r="N176" s="967"/>
      <c r="O176" s="597"/>
      <c r="P176" s="595"/>
      <c r="Q176" s="1138"/>
      <c r="R176" s="28"/>
    </row>
    <row r="177" spans="1:18" x14ac:dyDescent="0.2">
      <c r="A177" s="17"/>
      <c r="B177" s="841"/>
      <c r="D177" s="596" t="s">
        <v>3705</v>
      </c>
      <c r="E177" s="1161">
        <f>OR_Eingabe!M55</f>
        <v>1</v>
      </c>
      <c r="F177" s="595">
        <f>$E$177*10</f>
        <v>10</v>
      </c>
      <c r="G177" s="595"/>
      <c r="H177" s="595"/>
      <c r="I177" s="595"/>
      <c r="J177" s="595"/>
      <c r="K177" s="595"/>
      <c r="L177" s="595"/>
      <c r="M177" s="876"/>
      <c r="N177" s="967" t="s">
        <v>3818</v>
      </c>
      <c r="O177" s="595"/>
      <c r="P177" s="1194">
        <f>VLOOKUP(E171,Vorfruechte!$C$23:$P$132,Vorfruechte!$N$2,FALSE)</f>
        <v>0</v>
      </c>
      <c r="Q177" s="1138" t="s">
        <v>3478</v>
      </c>
      <c r="R177" s="28"/>
    </row>
    <row r="178" spans="1:18" x14ac:dyDescent="0.2">
      <c r="A178" s="17"/>
      <c r="B178" s="841"/>
      <c r="D178" s="596" t="s">
        <v>3720</v>
      </c>
      <c r="E178" s="584" t="str">
        <f>VLOOKUP($E$177,$D$140:$E$141,$E$139,FALSE)</f>
        <v>Nein</v>
      </c>
      <c r="F178" s="595"/>
      <c r="G178" s="595"/>
      <c r="H178" s="595"/>
      <c r="I178" s="595"/>
      <c r="J178" s="595"/>
      <c r="K178" s="595"/>
      <c r="L178" s="595"/>
      <c r="M178" s="876"/>
      <c r="N178" s="967" t="s">
        <v>3821</v>
      </c>
      <c r="O178" s="595"/>
      <c r="P178" s="595">
        <f>IF($P$173=1,$P$175*P177,0)</f>
        <v>0</v>
      </c>
      <c r="Q178" s="1138" t="s">
        <v>3703</v>
      </c>
      <c r="R178" s="28"/>
    </row>
    <row r="179" spans="1:18" x14ac:dyDescent="0.2">
      <c r="A179" s="17"/>
      <c r="B179" s="841"/>
      <c r="C179" s="676"/>
      <c r="D179" s="575"/>
      <c r="E179" s="595"/>
      <c r="F179" s="595"/>
      <c r="G179" s="595"/>
      <c r="H179" s="595"/>
      <c r="I179" s="595"/>
      <c r="J179" s="595"/>
      <c r="K179" s="575"/>
      <c r="L179" s="575"/>
      <c r="M179" s="149"/>
      <c r="N179" s="967"/>
      <c r="O179" s="597"/>
      <c r="P179" s="595"/>
      <c r="Q179" s="1138"/>
      <c r="R179" s="28"/>
    </row>
    <row r="180" spans="1:18" x14ac:dyDescent="0.2">
      <c r="A180" s="17"/>
      <c r="B180" s="841"/>
      <c r="C180" s="676"/>
      <c r="D180" s="575" t="s">
        <v>3344</v>
      </c>
      <c r="E180" s="595"/>
      <c r="F180" s="595">
        <f>INDEX($I$19:$J$132,MATCH($E$171,$C$19:$C$132,FALSE),MATCH($F$177,$I$19:$J$19,FALSE))</f>
        <v>0</v>
      </c>
      <c r="G180" s="595" t="s">
        <v>4075</v>
      </c>
      <c r="H180" s="595"/>
      <c r="I180" s="595"/>
      <c r="J180" s="595"/>
      <c r="K180" s="575"/>
      <c r="L180" s="575"/>
      <c r="M180" s="149"/>
      <c r="N180" s="967" t="s">
        <v>3822</v>
      </c>
      <c r="O180" s="595"/>
      <c r="P180" s="1194">
        <f>VLOOKUP(E171,Vorfruechte!$C$23:$P$132,Vorfruechte!$O$2,FALSE)</f>
        <v>0</v>
      </c>
      <c r="Q180" s="1138" t="s">
        <v>3478</v>
      </c>
      <c r="R180" s="28"/>
    </row>
    <row r="181" spans="1:18" x14ac:dyDescent="0.2">
      <c r="A181" s="17"/>
      <c r="B181" s="841"/>
      <c r="C181" s="676"/>
      <c r="D181" s="575"/>
      <c r="E181" s="595"/>
      <c r="F181" s="595"/>
      <c r="G181" s="595"/>
      <c r="H181" s="595"/>
      <c r="I181" s="595"/>
      <c r="J181" s="595"/>
      <c r="K181" s="575"/>
      <c r="L181" s="575"/>
      <c r="M181" s="149"/>
      <c r="N181" s="967" t="s">
        <v>3823</v>
      </c>
      <c r="O181" s="595"/>
      <c r="P181" s="595">
        <f>IF($P$173=1,$P$175*P180,0)</f>
        <v>0</v>
      </c>
      <c r="Q181" s="1138" t="s">
        <v>3703</v>
      </c>
      <c r="R181" s="28"/>
    </row>
    <row r="182" spans="1:18" x14ac:dyDescent="0.2">
      <c r="A182" s="17"/>
      <c r="B182" s="841"/>
      <c r="C182" s="676"/>
      <c r="D182" s="575"/>
      <c r="E182" s="595"/>
      <c r="F182" s="595"/>
      <c r="G182" s="595"/>
      <c r="H182" s="595"/>
      <c r="I182" s="595"/>
      <c r="J182" s="595"/>
      <c r="K182" s="575"/>
      <c r="L182" s="575"/>
      <c r="M182" s="149"/>
      <c r="N182" s="967"/>
      <c r="O182" s="597"/>
      <c r="P182" s="595"/>
      <c r="Q182" s="1138"/>
      <c r="R182" s="28"/>
    </row>
    <row r="183" spans="1:18" x14ac:dyDescent="0.2">
      <c r="A183" s="17"/>
      <c r="B183" s="841"/>
      <c r="C183" s="676"/>
      <c r="D183" s="575"/>
      <c r="E183" s="595"/>
      <c r="F183" s="595"/>
      <c r="G183" s="595"/>
      <c r="H183" s="595"/>
      <c r="I183" s="595"/>
      <c r="J183" s="595"/>
      <c r="K183" s="575"/>
      <c r="L183" s="575"/>
      <c r="M183" s="149"/>
      <c r="N183" s="967" t="s">
        <v>3824</v>
      </c>
      <c r="O183" s="595"/>
      <c r="P183" s="1194">
        <f>VLOOKUP(E171,Vorfruechte!$C$23:$P$132,Vorfruechte!$P$2,FALSE)</f>
        <v>0</v>
      </c>
      <c r="Q183" s="1138" t="s">
        <v>3478</v>
      </c>
      <c r="R183" s="28"/>
    </row>
    <row r="184" spans="1:18" x14ac:dyDescent="0.2">
      <c r="A184" s="17"/>
      <c r="B184" s="852"/>
      <c r="C184" s="1085"/>
      <c r="D184" s="914"/>
      <c r="E184" s="1004"/>
      <c r="F184" s="1004"/>
      <c r="G184" s="1004"/>
      <c r="H184" s="1004"/>
      <c r="I184" s="1004"/>
      <c r="J184" s="1004"/>
      <c r="K184" s="914"/>
      <c r="L184" s="914"/>
      <c r="M184" s="1196"/>
      <c r="N184" s="1197" t="s">
        <v>3825</v>
      </c>
      <c r="O184" s="1004"/>
      <c r="P184" s="1004">
        <f>IF($P$173=1,$P$175*P183,0)</f>
        <v>0</v>
      </c>
      <c r="Q184" s="1153" t="s">
        <v>3703</v>
      </c>
      <c r="R184" s="28"/>
    </row>
    <row r="185" spans="1:18" x14ac:dyDescent="0.2">
      <c r="B185" s="603"/>
      <c r="C185" s="1090"/>
      <c r="D185" s="927"/>
      <c r="E185" s="611"/>
      <c r="F185" s="611"/>
      <c r="G185" s="611"/>
      <c r="H185" s="611"/>
      <c r="I185" s="611"/>
      <c r="J185" s="611"/>
      <c r="K185" s="927"/>
      <c r="L185" s="927"/>
      <c r="M185" s="927"/>
      <c r="N185" s="615"/>
      <c r="O185" s="615"/>
      <c r="P185" s="615"/>
      <c r="Q185" s="611"/>
    </row>
    <row r="186" spans="1:18" x14ac:dyDescent="0.2">
      <c r="C186" s="676"/>
      <c r="D186" s="575"/>
      <c r="E186" s="595"/>
      <c r="F186" s="595"/>
      <c r="G186" s="595"/>
      <c r="H186" s="595"/>
      <c r="I186" s="595"/>
      <c r="J186" s="595"/>
      <c r="K186" s="575"/>
      <c r="L186" s="575"/>
      <c r="M186" s="575"/>
      <c r="N186" s="597"/>
      <c r="O186" s="597"/>
      <c r="P186" s="597"/>
      <c r="Q186" s="595"/>
    </row>
    <row r="187" spans="1:18" x14ac:dyDescent="0.2">
      <c r="C187" s="676"/>
      <c r="D187" s="575"/>
      <c r="E187" s="595"/>
      <c r="F187" s="595"/>
      <c r="G187" s="595"/>
      <c r="H187" s="595"/>
      <c r="I187" s="595"/>
      <c r="J187" s="595"/>
      <c r="K187" s="575"/>
      <c r="L187" s="575"/>
      <c r="M187" s="575"/>
      <c r="N187" s="597"/>
      <c r="O187" s="597"/>
      <c r="P187" s="597"/>
      <c r="Q187" s="595"/>
    </row>
    <row r="188" spans="1:18" x14ac:dyDescent="0.2">
      <c r="C188" s="676"/>
      <c r="D188" s="575"/>
      <c r="E188" s="595"/>
      <c r="F188" s="595"/>
      <c r="G188" s="595"/>
      <c r="H188" s="595"/>
      <c r="I188" s="595"/>
      <c r="J188" s="595"/>
      <c r="K188" s="575"/>
      <c r="L188" s="575"/>
      <c r="M188" s="575"/>
      <c r="N188" s="597"/>
      <c r="O188" s="597"/>
      <c r="P188" s="597"/>
      <c r="Q188" s="595"/>
    </row>
    <row r="189" spans="1:18" x14ac:dyDescent="0.2">
      <c r="D189" s="595"/>
      <c r="E189" s="595"/>
      <c r="F189" s="595"/>
      <c r="G189" s="595"/>
      <c r="H189" s="595"/>
      <c r="I189" s="595"/>
      <c r="J189" s="595"/>
      <c r="K189" s="595"/>
      <c r="L189" s="595"/>
      <c r="M189" s="595"/>
      <c r="N189" s="597"/>
      <c r="O189" s="597"/>
      <c r="P189" s="597"/>
      <c r="Q189" s="595"/>
    </row>
    <row r="190" spans="1:18" x14ac:dyDescent="0.2">
      <c r="D190" s="595"/>
      <c r="E190" s="595"/>
      <c r="F190" s="595"/>
      <c r="G190" s="595"/>
      <c r="H190" s="595"/>
      <c r="I190" s="595"/>
      <c r="J190" s="595"/>
      <c r="K190" s="595"/>
      <c r="L190" s="595"/>
      <c r="M190" s="595"/>
      <c r="N190" s="597"/>
      <c r="O190" s="597"/>
      <c r="P190" s="597"/>
      <c r="Q190" s="595"/>
    </row>
    <row r="191" spans="1:18" x14ac:dyDescent="0.2">
      <c r="D191" s="595"/>
      <c r="E191" s="595"/>
      <c r="F191" s="595"/>
      <c r="G191" s="595"/>
      <c r="H191" s="595"/>
      <c r="I191" s="595"/>
      <c r="J191" s="595"/>
      <c r="K191" s="595"/>
      <c r="L191" s="595"/>
      <c r="M191" s="595"/>
      <c r="N191" s="597"/>
      <c r="O191" s="597"/>
      <c r="P191" s="597"/>
      <c r="Q191" s="595"/>
    </row>
    <row r="192" spans="1:18" x14ac:dyDescent="0.2">
      <c r="D192" s="595"/>
      <c r="E192" s="595"/>
      <c r="F192" s="595"/>
      <c r="G192" s="595"/>
      <c r="H192" s="595"/>
      <c r="I192" s="595"/>
      <c r="J192" s="595"/>
      <c r="K192" s="595"/>
      <c r="L192" s="595"/>
      <c r="M192" s="595"/>
      <c r="N192" s="597"/>
      <c r="O192" s="597"/>
      <c r="P192" s="597"/>
      <c r="Q192" s="595"/>
    </row>
    <row r="193" spans="3:17" x14ac:dyDescent="0.2">
      <c r="C193" s="676"/>
      <c r="D193" s="575"/>
      <c r="E193" s="595"/>
      <c r="F193" s="595"/>
      <c r="G193" s="595"/>
      <c r="H193" s="595"/>
      <c r="I193" s="595"/>
      <c r="J193" s="595"/>
      <c r="K193" s="575"/>
      <c r="L193" s="575"/>
      <c r="M193" s="575"/>
      <c r="N193" s="575"/>
      <c r="O193" s="575"/>
      <c r="P193" s="597"/>
      <c r="Q193" s="595"/>
    </row>
    <row r="194" spans="3:17" x14ac:dyDescent="0.2">
      <c r="C194" s="676"/>
      <c r="D194" s="575"/>
      <c r="E194" s="595"/>
      <c r="F194" s="595"/>
      <c r="G194" s="595"/>
      <c r="H194" s="595"/>
      <c r="I194" s="595"/>
      <c r="J194" s="595"/>
      <c r="K194" s="575"/>
      <c r="L194" s="575"/>
      <c r="M194" s="575"/>
      <c r="N194" s="575"/>
      <c r="O194" s="575"/>
      <c r="P194" s="597"/>
      <c r="Q194" s="595"/>
    </row>
    <row r="195" spans="3:17" x14ac:dyDescent="0.2">
      <c r="C195" s="676"/>
      <c r="D195" s="575"/>
      <c r="E195" s="595"/>
      <c r="F195" s="595"/>
      <c r="G195" s="595"/>
      <c r="H195" s="595"/>
      <c r="I195" s="595"/>
      <c r="J195" s="595"/>
      <c r="K195" s="575"/>
      <c r="L195" s="575"/>
      <c r="M195" s="575"/>
      <c r="N195" s="575"/>
      <c r="O195" s="575"/>
      <c r="P195" s="597"/>
      <c r="Q195" s="595"/>
    </row>
    <row r="196" spans="3:17" x14ac:dyDescent="0.2">
      <c r="C196" s="676"/>
      <c r="D196" s="575"/>
      <c r="E196" s="595"/>
      <c r="F196" s="595"/>
      <c r="G196" s="595"/>
      <c r="H196" s="595"/>
      <c r="I196" s="595"/>
      <c r="J196" s="595"/>
      <c r="K196" s="575"/>
      <c r="L196" s="575"/>
      <c r="M196" s="575"/>
      <c r="N196" s="575"/>
      <c r="O196" s="575"/>
      <c r="P196" s="597"/>
      <c r="Q196" s="595"/>
    </row>
    <row r="197" spans="3:17" x14ac:dyDescent="0.2">
      <c r="C197" s="676"/>
      <c r="D197" s="575"/>
      <c r="E197" s="595"/>
      <c r="F197" s="595"/>
      <c r="G197" s="595"/>
      <c r="H197" s="595"/>
      <c r="I197" s="595"/>
      <c r="J197" s="595"/>
      <c r="K197" s="575"/>
      <c r="L197" s="575"/>
      <c r="M197" s="575"/>
      <c r="N197" s="575"/>
      <c r="O197" s="575"/>
      <c r="P197" s="597"/>
      <c r="Q197" s="595"/>
    </row>
    <row r="198" spans="3:17" x14ac:dyDescent="0.2">
      <c r="C198" s="676"/>
      <c r="D198" s="575"/>
      <c r="E198" s="595"/>
      <c r="F198" s="595"/>
      <c r="G198" s="595"/>
      <c r="H198" s="595"/>
      <c r="I198" s="595"/>
      <c r="J198" s="595"/>
      <c r="K198" s="575"/>
      <c r="L198" s="575"/>
      <c r="M198" s="575"/>
      <c r="N198" s="575"/>
      <c r="O198" s="575"/>
      <c r="P198" s="597"/>
      <c r="Q198" s="595"/>
    </row>
    <row r="199" spans="3:17" x14ac:dyDescent="0.2">
      <c r="C199" s="676"/>
      <c r="D199" s="575"/>
      <c r="E199" s="595"/>
      <c r="F199" s="595"/>
      <c r="G199" s="595"/>
      <c r="H199" s="595"/>
      <c r="I199" s="595"/>
      <c r="J199" s="595"/>
      <c r="K199" s="575"/>
      <c r="L199" s="575"/>
      <c r="M199" s="575"/>
      <c r="N199" s="575"/>
      <c r="O199" s="575"/>
      <c r="P199" s="597"/>
      <c r="Q199" s="595"/>
    </row>
    <row r="200" spans="3:17" x14ac:dyDescent="0.2">
      <c r="C200" s="676"/>
      <c r="D200" s="575"/>
      <c r="E200" s="595"/>
      <c r="F200" s="595"/>
      <c r="G200" s="595"/>
      <c r="H200" s="595"/>
      <c r="I200" s="595"/>
      <c r="J200" s="595"/>
      <c r="K200" s="575"/>
      <c r="L200" s="575"/>
      <c r="M200" s="575"/>
      <c r="N200" s="575"/>
      <c r="O200" s="575"/>
      <c r="P200" s="597"/>
      <c r="Q200" s="595"/>
    </row>
    <row r="201" spans="3:17" x14ac:dyDescent="0.2">
      <c r="C201" s="676"/>
      <c r="D201" s="575"/>
      <c r="E201" s="595"/>
      <c r="F201" s="595"/>
      <c r="G201" s="595"/>
      <c r="H201" s="595"/>
      <c r="I201" s="595"/>
      <c r="J201" s="595"/>
      <c r="K201" s="575"/>
      <c r="L201" s="575"/>
      <c r="M201" s="575"/>
      <c r="N201" s="575"/>
      <c r="O201" s="575"/>
      <c r="P201" s="597"/>
      <c r="Q201" s="595"/>
    </row>
    <row r="202" spans="3:17" x14ac:dyDescent="0.2">
      <c r="C202" s="676"/>
      <c r="D202" s="575"/>
      <c r="E202" s="595"/>
      <c r="F202" s="595"/>
      <c r="G202" s="595"/>
      <c r="H202" s="595"/>
      <c r="I202" s="595"/>
      <c r="J202" s="595"/>
      <c r="K202" s="575"/>
      <c r="L202" s="575"/>
      <c r="M202" s="575"/>
      <c r="N202" s="575"/>
      <c r="O202" s="575"/>
      <c r="P202" s="597"/>
      <c r="Q202" s="595"/>
    </row>
    <row r="203" spans="3:17" x14ac:dyDescent="0.2">
      <c r="D203" s="575"/>
      <c r="E203" s="595"/>
      <c r="F203" s="595"/>
      <c r="G203" s="595"/>
      <c r="H203" s="595"/>
      <c r="I203" s="595"/>
      <c r="J203" s="595"/>
      <c r="K203" s="575"/>
      <c r="L203" s="575"/>
      <c r="M203" s="575"/>
      <c r="N203" s="597"/>
      <c r="O203" s="597"/>
      <c r="P203" s="597"/>
      <c r="Q203" s="595"/>
    </row>
    <row r="204" spans="3:17" x14ac:dyDescent="0.2">
      <c r="D204" s="575"/>
      <c r="E204" s="595"/>
      <c r="F204" s="595"/>
      <c r="G204" s="595"/>
      <c r="H204" s="595"/>
      <c r="I204" s="595"/>
      <c r="J204" s="595"/>
      <c r="K204" s="575"/>
      <c r="L204" s="575"/>
      <c r="M204" s="575"/>
      <c r="N204" s="597"/>
      <c r="O204" s="597"/>
      <c r="P204" s="597"/>
      <c r="Q204" s="595"/>
    </row>
    <row r="205" spans="3:17" x14ac:dyDescent="0.2">
      <c r="D205" s="575"/>
      <c r="E205" s="595"/>
      <c r="F205" s="595"/>
      <c r="G205" s="595"/>
      <c r="H205" s="595"/>
      <c r="I205" s="595"/>
      <c r="J205" s="595"/>
      <c r="K205" s="575"/>
      <c r="L205" s="575"/>
      <c r="M205" s="575"/>
      <c r="N205" s="597"/>
      <c r="O205" s="597"/>
      <c r="P205" s="597"/>
      <c r="Q205" s="595"/>
    </row>
    <row r="206" spans="3:17" x14ac:dyDescent="0.2">
      <c r="D206" s="575"/>
      <c r="E206" s="595"/>
      <c r="F206" s="595"/>
      <c r="G206" s="595"/>
      <c r="H206" s="595"/>
      <c r="I206" s="595"/>
      <c r="J206" s="595"/>
      <c r="K206" s="575"/>
      <c r="L206" s="575"/>
      <c r="M206" s="575"/>
      <c r="N206" s="597"/>
      <c r="O206" s="597"/>
      <c r="P206" s="597"/>
      <c r="Q206" s="595"/>
    </row>
    <row r="207" spans="3:17" x14ac:dyDescent="0.2">
      <c r="D207" s="575"/>
      <c r="E207" s="595"/>
      <c r="F207" s="595"/>
      <c r="G207" s="595"/>
      <c r="H207" s="595"/>
      <c r="I207" s="595"/>
      <c r="J207" s="595"/>
      <c r="K207" s="575"/>
      <c r="L207" s="575"/>
      <c r="M207" s="575"/>
      <c r="N207" s="597"/>
      <c r="O207" s="597"/>
      <c r="P207" s="597"/>
      <c r="Q207" s="595"/>
    </row>
    <row r="208" spans="3:17" x14ac:dyDescent="0.2">
      <c r="D208" s="22"/>
      <c r="E208" s="146"/>
      <c r="F208" s="146"/>
      <c r="G208" s="146"/>
      <c r="H208" s="146"/>
      <c r="I208" s="146"/>
      <c r="J208" s="146"/>
      <c r="K208" s="22"/>
      <c r="L208" s="22"/>
      <c r="M208" s="22"/>
    </row>
    <row r="209" spans="4:13" x14ac:dyDescent="0.2">
      <c r="D209" s="22"/>
      <c r="E209" s="146"/>
      <c r="F209" s="146"/>
      <c r="G209" s="146"/>
      <c r="H209" s="146"/>
      <c r="I209" s="146"/>
      <c r="J209" s="146"/>
      <c r="K209" s="22"/>
      <c r="L209" s="22"/>
      <c r="M209" s="22"/>
    </row>
    <row r="210" spans="4:13" x14ac:dyDescent="0.2">
      <c r="D210" s="22"/>
      <c r="E210" s="146"/>
      <c r="F210" s="146"/>
      <c r="G210" s="146"/>
      <c r="H210" s="146"/>
      <c r="I210" s="146"/>
      <c r="J210" s="146"/>
      <c r="K210" s="22"/>
      <c r="L210" s="22"/>
      <c r="M210" s="22"/>
    </row>
    <row r="211" spans="4:13" x14ac:dyDescent="0.2">
      <c r="D211" s="22"/>
      <c r="E211" s="146"/>
      <c r="F211" s="146"/>
      <c r="G211" s="146"/>
      <c r="H211" s="146"/>
      <c r="I211" s="146"/>
      <c r="J211" s="146"/>
      <c r="K211" s="22"/>
      <c r="L211" s="22"/>
      <c r="M211" s="22"/>
    </row>
    <row r="212" spans="4:13" x14ac:dyDescent="0.2">
      <c r="D212" s="22"/>
      <c r="E212" s="146"/>
      <c r="F212" s="146"/>
      <c r="G212" s="146"/>
      <c r="H212" s="146"/>
      <c r="I212" s="146"/>
      <c r="J212" s="146"/>
      <c r="K212" s="22"/>
      <c r="L212" s="22"/>
      <c r="M212" s="22"/>
    </row>
    <row r="213" spans="4:13" x14ac:dyDescent="0.2">
      <c r="D213" s="22"/>
      <c r="E213" s="146"/>
      <c r="F213" s="146"/>
      <c r="G213" s="146"/>
      <c r="H213" s="146"/>
      <c r="I213" s="146"/>
      <c r="J213" s="146"/>
      <c r="K213" s="22"/>
      <c r="L213" s="22"/>
      <c r="M213" s="22"/>
    </row>
    <row r="214" spans="4:13" x14ac:dyDescent="0.2">
      <c r="D214" s="22"/>
      <c r="E214" s="146"/>
      <c r="F214" s="146"/>
      <c r="G214" s="146"/>
      <c r="H214" s="146"/>
      <c r="I214" s="146"/>
      <c r="J214" s="146"/>
      <c r="K214" s="22"/>
      <c r="L214" s="22"/>
      <c r="M214" s="22"/>
    </row>
    <row r="215" spans="4:13" x14ac:dyDescent="0.2">
      <c r="D215" s="22"/>
      <c r="E215" s="146"/>
      <c r="F215" s="146"/>
      <c r="G215" s="146"/>
      <c r="H215" s="146"/>
      <c r="I215" s="146"/>
      <c r="J215" s="146"/>
      <c r="K215" s="22"/>
      <c r="L215" s="22"/>
      <c r="M215" s="22"/>
    </row>
    <row r="216" spans="4:13" x14ac:dyDescent="0.2">
      <c r="E216" s="146"/>
      <c r="F216" s="146"/>
      <c r="G216" s="146"/>
      <c r="H216" s="146"/>
      <c r="I216" s="146"/>
      <c r="J216" s="146"/>
      <c r="K216" s="146"/>
      <c r="L216" s="146"/>
      <c r="M216" s="146"/>
    </row>
    <row r="217" spans="4:13" x14ac:dyDescent="0.2">
      <c r="E217" s="146"/>
      <c r="F217" s="146"/>
      <c r="G217" s="146"/>
      <c r="H217" s="146"/>
      <c r="I217" s="146"/>
      <c r="J217" s="146"/>
      <c r="K217" s="146"/>
      <c r="L217" s="146"/>
      <c r="M217" s="146"/>
    </row>
  </sheetData>
  <sheetProtection password="8677" sheet="1" objects="1" scenarios="1"/>
  <printOptions horizontalCentered="1" verticalCentered="1"/>
  <pageMargins left="0.78740157480314965" right="0.59055118110236227" top="0.39370078740157483" bottom="0.39370078740157483" header="0" footer="0.11811023622047245"/>
  <pageSetup paperSize="9" scale="88" fitToHeight="4" orientation="portrait" horizontalDpi="1200" verticalDpi="1200" r:id="rId1"/>
  <headerFooter alignWithMargins="0">
    <oddFooter>&amp;L&amp;8LEL / LTZ / LAZBW / LWA-DS&amp;C&amp;8&amp;F  &amp;A&amp;R&amp;8&amp;D</oddFooter>
  </headerFooter>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theme="6" tint="0.59999389629810485"/>
    <pageSetUpPr fitToPage="1"/>
  </sheetPr>
  <dimension ref="A1:AK57"/>
  <sheetViews>
    <sheetView zoomScaleNormal="100" workbookViewId="0">
      <pane ySplit="21" topLeftCell="A22" activePane="bottomLeft" state="frozen"/>
      <selection activeCell="A173" sqref="A173"/>
      <selection pane="bottomLeft" activeCell="A173" sqref="A173"/>
    </sheetView>
  </sheetViews>
  <sheetFormatPr baseColWidth="10" defaultColWidth="10.125" defaultRowHeight="14.25" x14ac:dyDescent="0.2"/>
  <cols>
    <col min="1" max="1" width="2.75" style="146" customWidth="1"/>
    <col min="2" max="2" width="3" style="657" bestFit="1" customWidth="1"/>
    <col min="3" max="3" width="50" style="146" customWidth="1"/>
    <col min="4" max="11" width="15.375" style="576" customWidth="1"/>
    <col min="12" max="12" width="20.375" style="146" customWidth="1"/>
    <col min="13" max="241" width="10.125" style="146"/>
    <col min="242" max="242" width="1.75" style="146" customWidth="1"/>
    <col min="243" max="243" width="26.5" style="146" bestFit="1" customWidth="1"/>
    <col min="244" max="244" width="19.375" style="146" bestFit="1" customWidth="1"/>
    <col min="245" max="245" width="1.75" style="146" customWidth="1"/>
    <col min="246" max="246" width="15" style="146" bestFit="1" customWidth="1"/>
    <col min="247" max="247" width="5" style="146" bestFit="1" customWidth="1"/>
    <col min="248" max="248" width="9.75" style="146" bestFit="1" customWidth="1"/>
    <col min="249" max="250" width="5" style="146" bestFit="1" customWidth="1"/>
    <col min="251" max="251" width="6.25" style="146" customWidth="1"/>
    <col min="252" max="252" width="6.375" style="146" customWidth="1"/>
    <col min="253" max="253" width="6.75" style="146" customWidth="1"/>
    <col min="254" max="255" width="5" style="146" bestFit="1" customWidth="1"/>
    <col min="256" max="256" width="10.125" style="146"/>
    <col min="257" max="264" width="0" style="146" hidden="1" customWidth="1"/>
    <col min="265" max="497" width="10.125" style="146"/>
    <col min="498" max="498" width="1.75" style="146" customWidth="1"/>
    <col min="499" max="499" width="26.5" style="146" bestFit="1" customWidth="1"/>
    <col min="500" max="500" width="19.375" style="146" bestFit="1" customWidth="1"/>
    <col min="501" max="501" width="1.75" style="146" customWidth="1"/>
    <col min="502" max="502" width="15" style="146" bestFit="1" customWidth="1"/>
    <col min="503" max="503" width="5" style="146" bestFit="1" customWidth="1"/>
    <col min="504" max="504" width="9.75" style="146" bestFit="1" customWidth="1"/>
    <col min="505" max="506" width="5" style="146" bestFit="1" customWidth="1"/>
    <col min="507" max="507" width="6.25" style="146" customWidth="1"/>
    <col min="508" max="508" width="6.375" style="146" customWidth="1"/>
    <col min="509" max="509" width="6.75" style="146" customWidth="1"/>
    <col min="510" max="511" width="5" style="146" bestFit="1" customWidth="1"/>
    <col min="512" max="512" width="10.125" style="146"/>
    <col min="513" max="520" width="0" style="146" hidden="1" customWidth="1"/>
    <col min="521" max="753" width="10.125" style="146"/>
    <col min="754" max="754" width="1.75" style="146" customWidth="1"/>
    <col min="755" max="755" width="26.5" style="146" bestFit="1" customWidth="1"/>
    <col min="756" max="756" width="19.375" style="146" bestFit="1" customWidth="1"/>
    <col min="757" max="757" width="1.75" style="146" customWidth="1"/>
    <col min="758" max="758" width="15" style="146" bestFit="1" customWidth="1"/>
    <col min="759" max="759" width="5" style="146" bestFit="1" customWidth="1"/>
    <col min="760" max="760" width="9.75" style="146" bestFit="1" customWidth="1"/>
    <col min="761" max="762" width="5" style="146" bestFit="1" customWidth="1"/>
    <col min="763" max="763" width="6.25" style="146" customWidth="1"/>
    <col min="764" max="764" width="6.375" style="146" customWidth="1"/>
    <col min="765" max="765" width="6.75" style="146" customWidth="1"/>
    <col min="766" max="767" width="5" style="146" bestFit="1" customWidth="1"/>
    <col min="768" max="768" width="10.125" style="146"/>
    <col min="769" max="776" width="0" style="146" hidden="1" customWidth="1"/>
    <col min="777" max="1009" width="10.125" style="146"/>
    <col min="1010" max="1010" width="1.75" style="146" customWidth="1"/>
    <col min="1011" max="1011" width="26.5" style="146" bestFit="1" customWidth="1"/>
    <col min="1012" max="1012" width="19.375" style="146" bestFit="1" customWidth="1"/>
    <col min="1013" max="1013" width="1.75" style="146" customWidth="1"/>
    <col min="1014" max="1014" width="15" style="146" bestFit="1" customWidth="1"/>
    <col min="1015" max="1015" width="5" style="146" bestFit="1" customWidth="1"/>
    <col min="1016" max="1016" width="9.75" style="146" bestFit="1" customWidth="1"/>
    <col min="1017" max="1018" width="5" style="146" bestFit="1" customWidth="1"/>
    <col min="1019" max="1019" width="6.25" style="146" customWidth="1"/>
    <col min="1020" max="1020" width="6.375" style="146" customWidth="1"/>
    <col min="1021" max="1021" width="6.75" style="146" customWidth="1"/>
    <col min="1022" max="1023" width="5" style="146" bestFit="1" customWidth="1"/>
    <col min="1024" max="1024" width="10.125" style="146"/>
    <col min="1025" max="1032" width="0" style="146" hidden="1" customWidth="1"/>
    <col min="1033" max="1265" width="10.125" style="146"/>
    <col min="1266" max="1266" width="1.75" style="146" customWidth="1"/>
    <col min="1267" max="1267" width="26.5" style="146" bestFit="1" customWidth="1"/>
    <col min="1268" max="1268" width="19.375" style="146" bestFit="1" customWidth="1"/>
    <col min="1269" max="1269" width="1.75" style="146" customWidth="1"/>
    <col min="1270" max="1270" width="15" style="146" bestFit="1" customWidth="1"/>
    <col min="1271" max="1271" width="5" style="146" bestFit="1" customWidth="1"/>
    <col min="1272" max="1272" width="9.75" style="146" bestFit="1" customWidth="1"/>
    <col min="1273" max="1274" width="5" style="146" bestFit="1" customWidth="1"/>
    <col min="1275" max="1275" width="6.25" style="146" customWidth="1"/>
    <col min="1276" max="1276" width="6.375" style="146" customWidth="1"/>
    <col min="1277" max="1277" width="6.75" style="146" customWidth="1"/>
    <col min="1278" max="1279" width="5" style="146" bestFit="1" customWidth="1"/>
    <col min="1280" max="1280" width="10.125" style="146"/>
    <col min="1281" max="1288" width="0" style="146" hidden="1" customWidth="1"/>
    <col min="1289" max="1521" width="10.125" style="146"/>
    <col min="1522" max="1522" width="1.75" style="146" customWidth="1"/>
    <col min="1523" max="1523" width="26.5" style="146" bestFit="1" customWidth="1"/>
    <col min="1524" max="1524" width="19.375" style="146" bestFit="1" customWidth="1"/>
    <col min="1525" max="1525" width="1.75" style="146" customWidth="1"/>
    <col min="1526" max="1526" width="15" style="146" bestFit="1" customWidth="1"/>
    <col min="1527" max="1527" width="5" style="146" bestFit="1" customWidth="1"/>
    <col min="1528" max="1528" width="9.75" style="146" bestFit="1" customWidth="1"/>
    <col min="1529" max="1530" width="5" style="146" bestFit="1" customWidth="1"/>
    <col min="1531" max="1531" width="6.25" style="146" customWidth="1"/>
    <col min="1532" max="1532" width="6.375" style="146" customWidth="1"/>
    <col min="1533" max="1533" width="6.75" style="146" customWidth="1"/>
    <col min="1534" max="1535" width="5" style="146" bestFit="1" customWidth="1"/>
    <col min="1536" max="1536" width="10.125" style="146"/>
    <col min="1537" max="1544" width="0" style="146" hidden="1" customWidth="1"/>
    <col min="1545" max="1777" width="10.125" style="146"/>
    <col min="1778" max="1778" width="1.75" style="146" customWidth="1"/>
    <col min="1779" max="1779" width="26.5" style="146" bestFit="1" customWidth="1"/>
    <col min="1780" max="1780" width="19.375" style="146" bestFit="1" customWidth="1"/>
    <col min="1781" max="1781" width="1.75" style="146" customWidth="1"/>
    <col min="1782" max="1782" width="15" style="146" bestFit="1" customWidth="1"/>
    <col min="1783" max="1783" width="5" style="146" bestFit="1" customWidth="1"/>
    <col min="1784" max="1784" width="9.75" style="146" bestFit="1" customWidth="1"/>
    <col min="1785" max="1786" width="5" style="146" bestFit="1" customWidth="1"/>
    <col min="1787" max="1787" width="6.25" style="146" customWidth="1"/>
    <col min="1788" max="1788" width="6.375" style="146" customWidth="1"/>
    <col min="1789" max="1789" width="6.75" style="146" customWidth="1"/>
    <col min="1790" max="1791" width="5" style="146" bestFit="1" customWidth="1"/>
    <col min="1792" max="1792" width="10.125" style="146"/>
    <col min="1793" max="1800" width="0" style="146" hidden="1" customWidth="1"/>
    <col min="1801" max="2033" width="10.125" style="146"/>
    <col min="2034" max="2034" width="1.75" style="146" customWidth="1"/>
    <col min="2035" max="2035" width="26.5" style="146" bestFit="1" customWidth="1"/>
    <col min="2036" max="2036" width="19.375" style="146" bestFit="1" customWidth="1"/>
    <col min="2037" max="2037" width="1.75" style="146" customWidth="1"/>
    <col min="2038" max="2038" width="15" style="146" bestFit="1" customWidth="1"/>
    <col min="2039" max="2039" width="5" style="146" bestFit="1" customWidth="1"/>
    <col min="2040" max="2040" width="9.75" style="146" bestFit="1" customWidth="1"/>
    <col min="2041" max="2042" width="5" style="146" bestFit="1" customWidth="1"/>
    <col min="2043" max="2043" width="6.25" style="146" customWidth="1"/>
    <col min="2044" max="2044" width="6.375" style="146" customWidth="1"/>
    <col min="2045" max="2045" width="6.75" style="146" customWidth="1"/>
    <col min="2046" max="2047" width="5" style="146" bestFit="1" customWidth="1"/>
    <col min="2048" max="2048" width="10.125" style="146"/>
    <col min="2049" max="2056" width="0" style="146" hidden="1" customWidth="1"/>
    <col min="2057" max="2289" width="10.125" style="146"/>
    <col min="2290" max="2290" width="1.75" style="146" customWidth="1"/>
    <col min="2291" max="2291" width="26.5" style="146" bestFit="1" customWidth="1"/>
    <col min="2292" max="2292" width="19.375" style="146" bestFit="1" customWidth="1"/>
    <col min="2293" max="2293" width="1.75" style="146" customWidth="1"/>
    <col min="2294" max="2294" width="15" style="146" bestFit="1" customWidth="1"/>
    <col min="2295" max="2295" width="5" style="146" bestFit="1" customWidth="1"/>
    <col min="2296" max="2296" width="9.75" style="146" bestFit="1" customWidth="1"/>
    <col min="2297" max="2298" width="5" style="146" bestFit="1" customWidth="1"/>
    <col min="2299" max="2299" width="6.25" style="146" customWidth="1"/>
    <col min="2300" max="2300" width="6.375" style="146" customWidth="1"/>
    <col min="2301" max="2301" width="6.75" style="146" customWidth="1"/>
    <col min="2302" max="2303" width="5" style="146" bestFit="1" customWidth="1"/>
    <col min="2304" max="2304" width="10.125" style="146"/>
    <col min="2305" max="2312" width="0" style="146" hidden="1" customWidth="1"/>
    <col min="2313" max="2545" width="10.125" style="146"/>
    <col min="2546" max="2546" width="1.75" style="146" customWidth="1"/>
    <col min="2547" max="2547" width="26.5" style="146" bestFit="1" customWidth="1"/>
    <col min="2548" max="2548" width="19.375" style="146" bestFit="1" customWidth="1"/>
    <col min="2549" max="2549" width="1.75" style="146" customWidth="1"/>
    <col min="2550" max="2550" width="15" style="146" bestFit="1" customWidth="1"/>
    <col min="2551" max="2551" width="5" style="146" bestFit="1" customWidth="1"/>
    <col min="2552" max="2552" width="9.75" style="146" bestFit="1" customWidth="1"/>
    <col min="2553" max="2554" width="5" style="146" bestFit="1" customWidth="1"/>
    <col min="2555" max="2555" width="6.25" style="146" customWidth="1"/>
    <col min="2556" max="2556" width="6.375" style="146" customWidth="1"/>
    <col min="2557" max="2557" width="6.75" style="146" customWidth="1"/>
    <col min="2558" max="2559" width="5" style="146" bestFit="1" customWidth="1"/>
    <col min="2560" max="2560" width="10.125" style="146"/>
    <col min="2561" max="2568" width="0" style="146" hidden="1" customWidth="1"/>
    <col min="2569" max="2801" width="10.125" style="146"/>
    <col min="2802" max="2802" width="1.75" style="146" customWidth="1"/>
    <col min="2803" max="2803" width="26.5" style="146" bestFit="1" customWidth="1"/>
    <col min="2804" max="2804" width="19.375" style="146" bestFit="1" customWidth="1"/>
    <col min="2805" max="2805" width="1.75" style="146" customWidth="1"/>
    <col min="2806" max="2806" width="15" style="146" bestFit="1" customWidth="1"/>
    <col min="2807" max="2807" width="5" style="146" bestFit="1" customWidth="1"/>
    <col min="2808" max="2808" width="9.75" style="146" bestFit="1" customWidth="1"/>
    <col min="2809" max="2810" width="5" style="146" bestFit="1" customWidth="1"/>
    <col min="2811" max="2811" width="6.25" style="146" customWidth="1"/>
    <col min="2812" max="2812" width="6.375" style="146" customWidth="1"/>
    <col min="2813" max="2813" width="6.75" style="146" customWidth="1"/>
    <col min="2814" max="2815" width="5" style="146" bestFit="1" customWidth="1"/>
    <col min="2816" max="2816" width="10.125" style="146"/>
    <col min="2817" max="2824" width="0" style="146" hidden="1" customWidth="1"/>
    <col min="2825" max="3057" width="10.125" style="146"/>
    <col min="3058" max="3058" width="1.75" style="146" customWidth="1"/>
    <col min="3059" max="3059" width="26.5" style="146" bestFit="1" customWidth="1"/>
    <col min="3060" max="3060" width="19.375" style="146" bestFit="1" customWidth="1"/>
    <col min="3061" max="3061" width="1.75" style="146" customWidth="1"/>
    <col min="3062" max="3062" width="15" style="146" bestFit="1" customWidth="1"/>
    <col min="3063" max="3063" width="5" style="146" bestFit="1" customWidth="1"/>
    <col min="3064" max="3064" width="9.75" style="146" bestFit="1" customWidth="1"/>
    <col min="3065" max="3066" width="5" style="146" bestFit="1" customWidth="1"/>
    <col min="3067" max="3067" width="6.25" style="146" customWidth="1"/>
    <col min="3068" max="3068" width="6.375" style="146" customWidth="1"/>
    <col min="3069" max="3069" width="6.75" style="146" customWidth="1"/>
    <col min="3070" max="3071" width="5" style="146" bestFit="1" customWidth="1"/>
    <col min="3072" max="3072" width="10.125" style="146"/>
    <col min="3073" max="3080" width="0" style="146" hidden="1" customWidth="1"/>
    <col min="3081" max="3313" width="10.125" style="146"/>
    <col min="3314" max="3314" width="1.75" style="146" customWidth="1"/>
    <col min="3315" max="3315" width="26.5" style="146" bestFit="1" customWidth="1"/>
    <col min="3316" max="3316" width="19.375" style="146" bestFit="1" customWidth="1"/>
    <col min="3317" max="3317" width="1.75" style="146" customWidth="1"/>
    <col min="3318" max="3318" width="15" style="146" bestFit="1" customWidth="1"/>
    <col min="3319" max="3319" width="5" style="146" bestFit="1" customWidth="1"/>
    <col min="3320" max="3320" width="9.75" style="146" bestFit="1" customWidth="1"/>
    <col min="3321" max="3322" width="5" style="146" bestFit="1" customWidth="1"/>
    <col min="3323" max="3323" width="6.25" style="146" customWidth="1"/>
    <col min="3324" max="3324" width="6.375" style="146" customWidth="1"/>
    <col min="3325" max="3325" width="6.75" style="146" customWidth="1"/>
    <col min="3326" max="3327" width="5" style="146" bestFit="1" customWidth="1"/>
    <col min="3328" max="3328" width="10.125" style="146"/>
    <col min="3329" max="3336" width="0" style="146" hidden="1" customWidth="1"/>
    <col min="3337" max="3569" width="10.125" style="146"/>
    <col min="3570" max="3570" width="1.75" style="146" customWidth="1"/>
    <col min="3571" max="3571" width="26.5" style="146" bestFit="1" customWidth="1"/>
    <col min="3572" max="3572" width="19.375" style="146" bestFit="1" customWidth="1"/>
    <col min="3573" max="3573" width="1.75" style="146" customWidth="1"/>
    <col min="3574" max="3574" width="15" style="146" bestFit="1" customWidth="1"/>
    <col min="3575" max="3575" width="5" style="146" bestFit="1" customWidth="1"/>
    <col min="3576" max="3576" width="9.75" style="146" bestFit="1" customWidth="1"/>
    <col min="3577" max="3578" width="5" style="146" bestFit="1" customWidth="1"/>
    <col min="3579" max="3579" width="6.25" style="146" customWidth="1"/>
    <col min="3580" max="3580" width="6.375" style="146" customWidth="1"/>
    <col min="3581" max="3581" width="6.75" style="146" customWidth="1"/>
    <col min="3582" max="3583" width="5" style="146" bestFit="1" customWidth="1"/>
    <col min="3584" max="3584" width="10.125" style="146"/>
    <col min="3585" max="3592" width="0" style="146" hidden="1" customWidth="1"/>
    <col min="3593" max="3825" width="10.125" style="146"/>
    <col min="3826" max="3826" width="1.75" style="146" customWidth="1"/>
    <col min="3827" max="3827" width="26.5" style="146" bestFit="1" customWidth="1"/>
    <col min="3828" max="3828" width="19.375" style="146" bestFit="1" customWidth="1"/>
    <col min="3829" max="3829" width="1.75" style="146" customWidth="1"/>
    <col min="3830" max="3830" width="15" style="146" bestFit="1" customWidth="1"/>
    <col min="3831" max="3831" width="5" style="146" bestFit="1" customWidth="1"/>
    <col min="3832" max="3832" width="9.75" style="146" bestFit="1" customWidth="1"/>
    <col min="3833" max="3834" width="5" style="146" bestFit="1" customWidth="1"/>
    <col min="3835" max="3835" width="6.25" style="146" customWidth="1"/>
    <col min="3836" max="3836" width="6.375" style="146" customWidth="1"/>
    <col min="3837" max="3837" width="6.75" style="146" customWidth="1"/>
    <col min="3838" max="3839" width="5" style="146" bestFit="1" customWidth="1"/>
    <col min="3840" max="3840" width="10.125" style="146"/>
    <col min="3841" max="3848" width="0" style="146" hidden="1" customWidth="1"/>
    <col min="3849" max="4081" width="10.125" style="146"/>
    <col min="4082" max="4082" width="1.75" style="146" customWidth="1"/>
    <col min="4083" max="4083" width="26.5" style="146" bestFit="1" customWidth="1"/>
    <col min="4084" max="4084" width="19.375" style="146" bestFit="1" customWidth="1"/>
    <col min="4085" max="4085" width="1.75" style="146" customWidth="1"/>
    <col min="4086" max="4086" width="15" style="146" bestFit="1" customWidth="1"/>
    <col min="4087" max="4087" width="5" style="146" bestFit="1" customWidth="1"/>
    <col min="4088" max="4088" width="9.75" style="146" bestFit="1" customWidth="1"/>
    <col min="4089" max="4090" width="5" style="146" bestFit="1" customWidth="1"/>
    <col min="4091" max="4091" width="6.25" style="146" customWidth="1"/>
    <col min="4092" max="4092" width="6.375" style="146" customWidth="1"/>
    <col min="4093" max="4093" width="6.75" style="146" customWidth="1"/>
    <col min="4094" max="4095" width="5" style="146" bestFit="1" customWidth="1"/>
    <col min="4096" max="4096" width="10.125" style="146"/>
    <col min="4097" max="4104" width="0" style="146" hidden="1" customWidth="1"/>
    <col min="4105" max="4337" width="10.125" style="146"/>
    <col min="4338" max="4338" width="1.75" style="146" customWidth="1"/>
    <col min="4339" max="4339" width="26.5" style="146" bestFit="1" customWidth="1"/>
    <col min="4340" max="4340" width="19.375" style="146" bestFit="1" customWidth="1"/>
    <col min="4341" max="4341" width="1.75" style="146" customWidth="1"/>
    <col min="4342" max="4342" width="15" style="146" bestFit="1" customWidth="1"/>
    <col min="4343" max="4343" width="5" style="146" bestFit="1" customWidth="1"/>
    <col min="4344" max="4344" width="9.75" style="146" bestFit="1" customWidth="1"/>
    <col min="4345" max="4346" width="5" style="146" bestFit="1" customWidth="1"/>
    <col min="4347" max="4347" width="6.25" style="146" customWidth="1"/>
    <col min="4348" max="4348" width="6.375" style="146" customWidth="1"/>
    <col min="4349" max="4349" width="6.75" style="146" customWidth="1"/>
    <col min="4350" max="4351" width="5" style="146" bestFit="1" customWidth="1"/>
    <col min="4352" max="4352" width="10.125" style="146"/>
    <col min="4353" max="4360" width="0" style="146" hidden="1" customWidth="1"/>
    <col min="4361" max="4593" width="10.125" style="146"/>
    <col min="4594" max="4594" width="1.75" style="146" customWidth="1"/>
    <col min="4595" max="4595" width="26.5" style="146" bestFit="1" customWidth="1"/>
    <col min="4596" max="4596" width="19.375" style="146" bestFit="1" customWidth="1"/>
    <col min="4597" max="4597" width="1.75" style="146" customWidth="1"/>
    <col min="4598" max="4598" width="15" style="146" bestFit="1" customWidth="1"/>
    <col min="4599" max="4599" width="5" style="146" bestFit="1" customWidth="1"/>
    <col min="4600" max="4600" width="9.75" style="146" bestFit="1" customWidth="1"/>
    <col min="4601" max="4602" width="5" style="146" bestFit="1" customWidth="1"/>
    <col min="4603" max="4603" width="6.25" style="146" customWidth="1"/>
    <col min="4604" max="4604" width="6.375" style="146" customWidth="1"/>
    <col min="4605" max="4605" width="6.75" style="146" customWidth="1"/>
    <col min="4606" max="4607" width="5" style="146" bestFit="1" customWidth="1"/>
    <col min="4608" max="4608" width="10.125" style="146"/>
    <col min="4609" max="4616" width="0" style="146" hidden="1" customWidth="1"/>
    <col min="4617" max="4849" width="10.125" style="146"/>
    <col min="4850" max="4850" width="1.75" style="146" customWidth="1"/>
    <col min="4851" max="4851" width="26.5" style="146" bestFit="1" customWidth="1"/>
    <col min="4852" max="4852" width="19.375" style="146" bestFit="1" customWidth="1"/>
    <col min="4853" max="4853" width="1.75" style="146" customWidth="1"/>
    <col min="4854" max="4854" width="15" style="146" bestFit="1" customWidth="1"/>
    <col min="4855" max="4855" width="5" style="146" bestFit="1" customWidth="1"/>
    <col min="4856" max="4856" width="9.75" style="146" bestFit="1" customWidth="1"/>
    <col min="4857" max="4858" width="5" style="146" bestFit="1" customWidth="1"/>
    <col min="4859" max="4859" width="6.25" style="146" customWidth="1"/>
    <col min="4860" max="4860" width="6.375" style="146" customWidth="1"/>
    <col min="4861" max="4861" width="6.75" style="146" customWidth="1"/>
    <col min="4862" max="4863" width="5" style="146" bestFit="1" customWidth="1"/>
    <col min="4864" max="4864" width="10.125" style="146"/>
    <col min="4865" max="4872" width="0" style="146" hidden="1" customWidth="1"/>
    <col min="4873" max="5105" width="10.125" style="146"/>
    <col min="5106" max="5106" width="1.75" style="146" customWidth="1"/>
    <col min="5107" max="5107" width="26.5" style="146" bestFit="1" customWidth="1"/>
    <col min="5108" max="5108" width="19.375" style="146" bestFit="1" customWidth="1"/>
    <col min="5109" max="5109" width="1.75" style="146" customWidth="1"/>
    <col min="5110" max="5110" width="15" style="146" bestFit="1" customWidth="1"/>
    <col min="5111" max="5111" width="5" style="146" bestFit="1" customWidth="1"/>
    <col min="5112" max="5112" width="9.75" style="146" bestFit="1" customWidth="1"/>
    <col min="5113" max="5114" width="5" style="146" bestFit="1" customWidth="1"/>
    <col min="5115" max="5115" width="6.25" style="146" customWidth="1"/>
    <col min="5116" max="5116" width="6.375" style="146" customWidth="1"/>
    <col min="5117" max="5117" width="6.75" style="146" customWidth="1"/>
    <col min="5118" max="5119" width="5" style="146" bestFit="1" customWidth="1"/>
    <col min="5120" max="5120" width="10.125" style="146"/>
    <col min="5121" max="5128" width="0" style="146" hidden="1" customWidth="1"/>
    <col min="5129" max="5361" width="10.125" style="146"/>
    <col min="5362" max="5362" width="1.75" style="146" customWidth="1"/>
    <col min="5363" max="5363" width="26.5" style="146" bestFit="1" customWidth="1"/>
    <col min="5364" max="5364" width="19.375" style="146" bestFit="1" customWidth="1"/>
    <col min="5365" max="5365" width="1.75" style="146" customWidth="1"/>
    <col min="5366" max="5366" width="15" style="146" bestFit="1" customWidth="1"/>
    <col min="5367" max="5367" width="5" style="146" bestFit="1" customWidth="1"/>
    <col min="5368" max="5368" width="9.75" style="146" bestFit="1" customWidth="1"/>
    <col min="5369" max="5370" width="5" style="146" bestFit="1" customWidth="1"/>
    <col min="5371" max="5371" width="6.25" style="146" customWidth="1"/>
    <col min="5372" max="5372" width="6.375" style="146" customWidth="1"/>
    <col min="5373" max="5373" width="6.75" style="146" customWidth="1"/>
    <col min="5374" max="5375" width="5" style="146" bestFit="1" customWidth="1"/>
    <col min="5376" max="5376" width="10.125" style="146"/>
    <col min="5377" max="5384" width="0" style="146" hidden="1" customWidth="1"/>
    <col min="5385" max="5617" width="10.125" style="146"/>
    <col min="5618" max="5618" width="1.75" style="146" customWidth="1"/>
    <col min="5619" max="5619" width="26.5" style="146" bestFit="1" customWidth="1"/>
    <col min="5620" max="5620" width="19.375" style="146" bestFit="1" customWidth="1"/>
    <col min="5621" max="5621" width="1.75" style="146" customWidth="1"/>
    <col min="5622" max="5622" width="15" style="146" bestFit="1" customWidth="1"/>
    <col min="5623" max="5623" width="5" style="146" bestFit="1" customWidth="1"/>
    <col min="5624" max="5624" width="9.75" style="146" bestFit="1" customWidth="1"/>
    <col min="5625" max="5626" width="5" style="146" bestFit="1" customWidth="1"/>
    <col min="5627" max="5627" width="6.25" style="146" customWidth="1"/>
    <col min="5628" max="5628" width="6.375" style="146" customWidth="1"/>
    <col min="5629" max="5629" width="6.75" style="146" customWidth="1"/>
    <col min="5630" max="5631" width="5" style="146" bestFit="1" customWidth="1"/>
    <col min="5632" max="5632" width="10.125" style="146"/>
    <col min="5633" max="5640" width="0" style="146" hidden="1" customWidth="1"/>
    <col min="5641" max="5873" width="10.125" style="146"/>
    <col min="5874" max="5874" width="1.75" style="146" customWidth="1"/>
    <col min="5875" max="5875" width="26.5" style="146" bestFit="1" customWidth="1"/>
    <col min="5876" max="5876" width="19.375" style="146" bestFit="1" customWidth="1"/>
    <col min="5877" max="5877" width="1.75" style="146" customWidth="1"/>
    <col min="5878" max="5878" width="15" style="146" bestFit="1" customWidth="1"/>
    <col min="5879" max="5879" width="5" style="146" bestFit="1" customWidth="1"/>
    <col min="5880" max="5880" width="9.75" style="146" bestFit="1" customWidth="1"/>
    <col min="5881" max="5882" width="5" style="146" bestFit="1" customWidth="1"/>
    <col min="5883" max="5883" width="6.25" style="146" customWidth="1"/>
    <col min="5884" max="5884" width="6.375" style="146" customWidth="1"/>
    <col min="5885" max="5885" width="6.75" style="146" customWidth="1"/>
    <col min="5886" max="5887" width="5" style="146" bestFit="1" customWidth="1"/>
    <col min="5888" max="5888" width="10.125" style="146"/>
    <col min="5889" max="5896" width="0" style="146" hidden="1" customWidth="1"/>
    <col min="5897" max="6129" width="10.125" style="146"/>
    <col min="6130" max="6130" width="1.75" style="146" customWidth="1"/>
    <col min="6131" max="6131" width="26.5" style="146" bestFit="1" customWidth="1"/>
    <col min="6132" max="6132" width="19.375" style="146" bestFit="1" customWidth="1"/>
    <col min="6133" max="6133" width="1.75" style="146" customWidth="1"/>
    <col min="6134" max="6134" width="15" style="146" bestFit="1" customWidth="1"/>
    <col min="6135" max="6135" width="5" style="146" bestFit="1" customWidth="1"/>
    <col min="6136" max="6136" width="9.75" style="146" bestFit="1" customWidth="1"/>
    <col min="6137" max="6138" width="5" style="146" bestFit="1" customWidth="1"/>
    <col min="6139" max="6139" width="6.25" style="146" customWidth="1"/>
    <col min="6140" max="6140" width="6.375" style="146" customWidth="1"/>
    <col min="6141" max="6141" width="6.75" style="146" customWidth="1"/>
    <col min="6142" max="6143" width="5" style="146" bestFit="1" customWidth="1"/>
    <col min="6144" max="6144" width="10.125" style="146"/>
    <col min="6145" max="6152" width="0" style="146" hidden="1" customWidth="1"/>
    <col min="6153" max="6385" width="10.125" style="146"/>
    <col min="6386" max="6386" width="1.75" style="146" customWidth="1"/>
    <col min="6387" max="6387" width="26.5" style="146" bestFit="1" customWidth="1"/>
    <col min="6388" max="6388" width="19.375" style="146" bestFit="1" customWidth="1"/>
    <col min="6389" max="6389" width="1.75" style="146" customWidth="1"/>
    <col min="6390" max="6390" width="15" style="146" bestFit="1" customWidth="1"/>
    <col min="6391" max="6391" width="5" style="146" bestFit="1" customWidth="1"/>
    <col min="6392" max="6392" width="9.75" style="146" bestFit="1" customWidth="1"/>
    <col min="6393" max="6394" width="5" style="146" bestFit="1" customWidth="1"/>
    <col min="6395" max="6395" width="6.25" style="146" customWidth="1"/>
    <col min="6396" max="6396" width="6.375" style="146" customWidth="1"/>
    <col min="6397" max="6397" width="6.75" style="146" customWidth="1"/>
    <col min="6398" max="6399" width="5" style="146" bestFit="1" customWidth="1"/>
    <col min="6400" max="6400" width="10.125" style="146"/>
    <col min="6401" max="6408" width="0" style="146" hidden="1" customWidth="1"/>
    <col min="6409" max="6641" width="10.125" style="146"/>
    <col min="6642" max="6642" width="1.75" style="146" customWidth="1"/>
    <col min="6643" max="6643" width="26.5" style="146" bestFit="1" customWidth="1"/>
    <col min="6644" max="6644" width="19.375" style="146" bestFit="1" customWidth="1"/>
    <col min="6645" max="6645" width="1.75" style="146" customWidth="1"/>
    <col min="6646" max="6646" width="15" style="146" bestFit="1" customWidth="1"/>
    <col min="6647" max="6647" width="5" style="146" bestFit="1" customWidth="1"/>
    <col min="6648" max="6648" width="9.75" style="146" bestFit="1" customWidth="1"/>
    <col min="6649" max="6650" width="5" style="146" bestFit="1" customWidth="1"/>
    <col min="6651" max="6651" width="6.25" style="146" customWidth="1"/>
    <col min="6652" max="6652" width="6.375" style="146" customWidth="1"/>
    <col min="6653" max="6653" width="6.75" style="146" customWidth="1"/>
    <col min="6654" max="6655" width="5" style="146" bestFit="1" customWidth="1"/>
    <col min="6656" max="6656" width="10.125" style="146"/>
    <col min="6657" max="6664" width="0" style="146" hidden="1" customWidth="1"/>
    <col min="6665" max="6897" width="10.125" style="146"/>
    <col min="6898" max="6898" width="1.75" style="146" customWidth="1"/>
    <col min="6899" max="6899" width="26.5" style="146" bestFit="1" customWidth="1"/>
    <col min="6900" max="6900" width="19.375" style="146" bestFit="1" customWidth="1"/>
    <col min="6901" max="6901" width="1.75" style="146" customWidth="1"/>
    <col min="6902" max="6902" width="15" style="146" bestFit="1" customWidth="1"/>
    <col min="6903" max="6903" width="5" style="146" bestFit="1" customWidth="1"/>
    <col min="6904" max="6904" width="9.75" style="146" bestFit="1" customWidth="1"/>
    <col min="6905" max="6906" width="5" style="146" bestFit="1" customWidth="1"/>
    <col min="6907" max="6907" width="6.25" style="146" customWidth="1"/>
    <col min="6908" max="6908" width="6.375" style="146" customWidth="1"/>
    <col min="6909" max="6909" width="6.75" style="146" customWidth="1"/>
    <col min="6910" max="6911" width="5" style="146" bestFit="1" customWidth="1"/>
    <col min="6912" max="6912" width="10.125" style="146"/>
    <col min="6913" max="6920" width="0" style="146" hidden="1" customWidth="1"/>
    <col min="6921" max="7153" width="10.125" style="146"/>
    <col min="7154" max="7154" width="1.75" style="146" customWidth="1"/>
    <col min="7155" max="7155" width="26.5" style="146" bestFit="1" customWidth="1"/>
    <col min="7156" max="7156" width="19.375" style="146" bestFit="1" customWidth="1"/>
    <col min="7157" max="7157" width="1.75" style="146" customWidth="1"/>
    <col min="7158" max="7158" width="15" style="146" bestFit="1" customWidth="1"/>
    <col min="7159" max="7159" width="5" style="146" bestFit="1" customWidth="1"/>
    <col min="7160" max="7160" width="9.75" style="146" bestFit="1" customWidth="1"/>
    <col min="7161" max="7162" width="5" style="146" bestFit="1" customWidth="1"/>
    <col min="7163" max="7163" width="6.25" style="146" customWidth="1"/>
    <col min="7164" max="7164" width="6.375" style="146" customWidth="1"/>
    <col min="7165" max="7165" width="6.75" style="146" customWidth="1"/>
    <col min="7166" max="7167" width="5" style="146" bestFit="1" customWidth="1"/>
    <col min="7168" max="7168" width="10.125" style="146"/>
    <col min="7169" max="7176" width="0" style="146" hidden="1" customWidth="1"/>
    <col min="7177" max="7409" width="10.125" style="146"/>
    <col min="7410" max="7410" width="1.75" style="146" customWidth="1"/>
    <col min="7411" max="7411" width="26.5" style="146" bestFit="1" customWidth="1"/>
    <col min="7412" max="7412" width="19.375" style="146" bestFit="1" customWidth="1"/>
    <col min="7413" max="7413" width="1.75" style="146" customWidth="1"/>
    <col min="7414" max="7414" width="15" style="146" bestFit="1" customWidth="1"/>
    <col min="7415" max="7415" width="5" style="146" bestFit="1" customWidth="1"/>
    <col min="7416" max="7416" width="9.75" style="146" bestFit="1" customWidth="1"/>
    <col min="7417" max="7418" width="5" style="146" bestFit="1" customWidth="1"/>
    <col min="7419" max="7419" width="6.25" style="146" customWidth="1"/>
    <col min="7420" max="7420" width="6.375" style="146" customWidth="1"/>
    <col min="7421" max="7421" width="6.75" style="146" customWidth="1"/>
    <col min="7422" max="7423" width="5" style="146" bestFit="1" customWidth="1"/>
    <col min="7424" max="7424" width="10.125" style="146"/>
    <col min="7425" max="7432" width="0" style="146" hidden="1" customWidth="1"/>
    <col min="7433" max="7665" width="10.125" style="146"/>
    <col min="7666" max="7666" width="1.75" style="146" customWidth="1"/>
    <col min="7667" max="7667" width="26.5" style="146" bestFit="1" customWidth="1"/>
    <col min="7668" max="7668" width="19.375" style="146" bestFit="1" customWidth="1"/>
    <col min="7669" max="7669" width="1.75" style="146" customWidth="1"/>
    <col min="7670" max="7670" width="15" style="146" bestFit="1" customWidth="1"/>
    <col min="7671" max="7671" width="5" style="146" bestFit="1" customWidth="1"/>
    <col min="7672" max="7672" width="9.75" style="146" bestFit="1" customWidth="1"/>
    <col min="7673" max="7674" width="5" style="146" bestFit="1" customWidth="1"/>
    <col min="7675" max="7675" width="6.25" style="146" customWidth="1"/>
    <col min="7676" max="7676" width="6.375" style="146" customWidth="1"/>
    <col min="7677" max="7677" width="6.75" style="146" customWidth="1"/>
    <col min="7678" max="7679" width="5" style="146" bestFit="1" customWidth="1"/>
    <col min="7680" max="7680" width="10.125" style="146"/>
    <col min="7681" max="7688" width="0" style="146" hidden="1" customWidth="1"/>
    <col min="7689" max="7921" width="10.125" style="146"/>
    <col min="7922" max="7922" width="1.75" style="146" customWidth="1"/>
    <col min="7923" max="7923" width="26.5" style="146" bestFit="1" customWidth="1"/>
    <col min="7924" max="7924" width="19.375" style="146" bestFit="1" customWidth="1"/>
    <col min="7925" max="7925" width="1.75" style="146" customWidth="1"/>
    <col min="7926" max="7926" width="15" style="146" bestFit="1" customWidth="1"/>
    <col min="7927" max="7927" width="5" style="146" bestFit="1" customWidth="1"/>
    <col min="7928" max="7928" width="9.75" style="146" bestFit="1" customWidth="1"/>
    <col min="7929" max="7930" width="5" style="146" bestFit="1" customWidth="1"/>
    <col min="7931" max="7931" width="6.25" style="146" customWidth="1"/>
    <col min="7932" max="7932" width="6.375" style="146" customWidth="1"/>
    <col min="7933" max="7933" width="6.75" style="146" customWidth="1"/>
    <col min="7934" max="7935" width="5" style="146" bestFit="1" customWidth="1"/>
    <col min="7936" max="7936" width="10.125" style="146"/>
    <col min="7937" max="7944" width="0" style="146" hidden="1" customWidth="1"/>
    <col min="7945" max="8177" width="10.125" style="146"/>
    <col min="8178" max="8178" width="1.75" style="146" customWidth="1"/>
    <col min="8179" max="8179" width="26.5" style="146" bestFit="1" customWidth="1"/>
    <col min="8180" max="8180" width="19.375" style="146" bestFit="1" customWidth="1"/>
    <col min="8181" max="8181" width="1.75" style="146" customWidth="1"/>
    <col min="8182" max="8182" width="15" style="146" bestFit="1" customWidth="1"/>
    <col min="8183" max="8183" width="5" style="146" bestFit="1" customWidth="1"/>
    <col min="8184" max="8184" width="9.75" style="146" bestFit="1" customWidth="1"/>
    <col min="8185" max="8186" width="5" style="146" bestFit="1" customWidth="1"/>
    <col min="8187" max="8187" width="6.25" style="146" customWidth="1"/>
    <col min="8188" max="8188" width="6.375" style="146" customWidth="1"/>
    <col min="8189" max="8189" width="6.75" style="146" customWidth="1"/>
    <col min="8190" max="8191" width="5" style="146" bestFit="1" customWidth="1"/>
    <col min="8192" max="8192" width="10.125" style="146"/>
    <col min="8193" max="8200" width="0" style="146" hidden="1" customWidth="1"/>
    <col min="8201" max="8433" width="10.125" style="146"/>
    <col min="8434" max="8434" width="1.75" style="146" customWidth="1"/>
    <col min="8435" max="8435" width="26.5" style="146" bestFit="1" customWidth="1"/>
    <col min="8436" max="8436" width="19.375" style="146" bestFit="1" customWidth="1"/>
    <col min="8437" max="8437" width="1.75" style="146" customWidth="1"/>
    <col min="8438" max="8438" width="15" style="146" bestFit="1" customWidth="1"/>
    <col min="8439" max="8439" width="5" style="146" bestFit="1" customWidth="1"/>
    <col min="8440" max="8440" width="9.75" style="146" bestFit="1" customWidth="1"/>
    <col min="8441" max="8442" width="5" style="146" bestFit="1" customWidth="1"/>
    <col min="8443" max="8443" width="6.25" style="146" customWidth="1"/>
    <col min="8444" max="8444" width="6.375" style="146" customWidth="1"/>
    <col min="8445" max="8445" width="6.75" style="146" customWidth="1"/>
    <col min="8446" max="8447" width="5" style="146" bestFit="1" customWidth="1"/>
    <col min="8448" max="8448" width="10.125" style="146"/>
    <col min="8449" max="8456" width="0" style="146" hidden="1" customWidth="1"/>
    <col min="8457" max="8689" width="10.125" style="146"/>
    <col min="8690" max="8690" width="1.75" style="146" customWidth="1"/>
    <col min="8691" max="8691" width="26.5" style="146" bestFit="1" customWidth="1"/>
    <col min="8692" max="8692" width="19.375" style="146" bestFit="1" customWidth="1"/>
    <col min="8693" max="8693" width="1.75" style="146" customWidth="1"/>
    <col min="8694" max="8694" width="15" style="146" bestFit="1" customWidth="1"/>
    <col min="8695" max="8695" width="5" style="146" bestFit="1" customWidth="1"/>
    <col min="8696" max="8696" width="9.75" style="146" bestFit="1" customWidth="1"/>
    <col min="8697" max="8698" width="5" style="146" bestFit="1" customWidth="1"/>
    <col min="8699" max="8699" width="6.25" style="146" customWidth="1"/>
    <col min="8700" max="8700" width="6.375" style="146" customWidth="1"/>
    <col min="8701" max="8701" width="6.75" style="146" customWidth="1"/>
    <col min="8702" max="8703" width="5" style="146" bestFit="1" customWidth="1"/>
    <col min="8704" max="8704" width="10.125" style="146"/>
    <col min="8705" max="8712" width="0" style="146" hidden="1" customWidth="1"/>
    <col min="8713" max="8945" width="10.125" style="146"/>
    <col min="8946" max="8946" width="1.75" style="146" customWidth="1"/>
    <col min="8947" max="8947" width="26.5" style="146" bestFit="1" customWidth="1"/>
    <col min="8948" max="8948" width="19.375" style="146" bestFit="1" customWidth="1"/>
    <col min="8949" max="8949" width="1.75" style="146" customWidth="1"/>
    <col min="8950" max="8950" width="15" style="146" bestFit="1" customWidth="1"/>
    <col min="8951" max="8951" width="5" style="146" bestFit="1" customWidth="1"/>
    <col min="8952" max="8952" width="9.75" style="146" bestFit="1" customWidth="1"/>
    <col min="8953" max="8954" width="5" style="146" bestFit="1" customWidth="1"/>
    <col min="8955" max="8955" width="6.25" style="146" customWidth="1"/>
    <col min="8956" max="8956" width="6.375" style="146" customWidth="1"/>
    <col min="8957" max="8957" width="6.75" style="146" customWidth="1"/>
    <col min="8958" max="8959" width="5" style="146" bestFit="1" customWidth="1"/>
    <col min="8960" max="8960" width="10.125" style="146"/>
    <col min="8961" max="8968" width="0" style="146" hidden="1" customWidth="1"/>
    <col min="8969" max="9201" width="10.125" style="146"/>
    <col min="9202" max="9202" width="1.75" style="146" customWidth="1"/>
    <col min="9203" max="9203" width="26.5" style="146" bestFit="1" customWidth="1"/>
    <col min="9204" max="9204" width="19.375" style="146" bestFit="1" customWidth="1"/>
    <col min="9205" max="9205" width="1.75" style="146" customWidth="1"/>
    <col min="9206" max="9206" width="15" style="146" bestFit="1" customWidth="1"/>
    <col min="9207" max="9207" width="5" style="146" bestFit="1" customWidth="1"/>
    <col min="9208" max="9208" width="9.75" style="146" bestFit="1" customWidth="1"/>
    <col min="9209" max="9210" width="5" style="146" bestFit="1" customWidth="1"/>
    <col min="9211" max="9211" width="6.25" style="146" customWidth="1"/>
    <col min="9212" max="9212" width="6.375" style="146" customWidth="1"/>
    <col min="9213" max="9213" width="6.75" style="146" customWidth="1"/>
    <col min="9214" max="9215" width="5" style="146" bestFit="1" customWidth="1"/>
    <col min="9216" max="9216" width="10.125" style="146"/>
    <col min="9217" max="9224" width="0" style="146" hidden="1" customWidth="1"/>
    <col min="9225" max="9457" width="10.125" style="146"/>
    <col min="9458" max="9458" width="1.75" style="146" customWidth="1"/>
    <col min="9459" max="9459" width="26.5" style="146" bestFit="1" customWidth="1"/>
    <col min="9460" max="9460" width="19.375" style="146" bestFit="1" customWidth="1"/>
    <col min="9461" max="9461" width="1.75" style="146" customWidth="1"/>
    <col min="9462" max="9462" width="15" style="146" bestFit="1" customWidth="1"/>
    <col min="9463" max="9463" width="5" style="146" bestFit="1" customWidth="1"/>
    <col min="9464" max="9464" width="9.75" style="146" bestFit="1" customWidth="1"/>
    <col min="9465" max="9466" width="5" style="146" bestFit="1" customWidth="1"/>
    <col min="9467" max="9467" width="6.25" style="146" customWidth="1"/>
    <col min="9468" max="9468" width="6.375" style="146" customWidth="1"/>
    <col min="9469" max="9469" width="6.75" style="146" customWidth="1"/>
    <col min="9470" max="9471" width="5" style="146" bestFit="1" customWidth="1"/>
    <col min="9472" max="9472" width="10.125" style="146"/>
    <col min="9473" max="9480" width="0" style="146" hidden="1" customWidth="1"/>
    <col min="9481" max="9713" width="10.125" style="146"/>
    <col min="9714" max="9714" width="1.75" style="146" customWidth="1"/>
    <col min="9715" max="9715" width="26.5" style="146" bestFit="1" customWidth="1"/>
    <col min="9716" max="9716" width="19.375" style="146" bestFit="1" customWidth="1"/>
    <col min="9717" max="9717" width="1.75" style="146" customWidth="1"/>
    <col min="9718" max="9718" width="15" style="146" bestFit="1" customWidth="1"/>
    <col min="9719" max="9719" width="5" style="146" bestFit="1" customWidth="1"/>
    <col min="9720" max="9720" width="9.75" style="146" bestFit="1" customWidth="1"/>
    <col min="9721" max="9722" width="5" style="146" bestFit="1" customWidth="1"/>
    <col min="9723" max="9723" width="6.25" style="146" customWidth="1"/>
    <col min="9724" max="9724" width="6.375" style="146" customWidth="1"/>
    <col min="9725" max="9725" width="6.75" style="146" customWidth="1"/>
    <col min="9726" max="9727" width="5" style="146" bestFit="1" customWidth="1"/>
    <col min="9728" max="9728" width="10.125" style="146"/>
    <col min="9729" max="9736" width="0" style="146" hidden="1" customWidth="1"/>
    <col min="9737" max="9969" width="10.125" style="146"/>
    <col min="9970" max="9970" width="1.75" style="146" customWidth="1"/>
    <col min="9971" max="9971" width="26.5" style="146" bestFit="1" customWidth="1"/>
    <col min="9972" max="9972" width="19.375" style="146" bestFit="1" customWidth="1"/>
    <col min="9973" max="9973" width="1.75" style="146" customWidth="1"/>
    <col min="9974" max="9974" width="15" style="146" bestFit="1" customWidth="1"/>
    <col min="9975" max="9975" width="5" style="146" bestFit="1" customWidth="1"/>
    <col min="9976" max="9976" width="9.75" style="146" bestFit="1" customWidth="1"/>
    <col min="9977" max="9978" width="5" style="146" bestFit="1" customWidth="1"/>
    <col min="9979" max="9979" width="6.25" style="146" customWidth="1"/>
    <col min="9980" max="9980" width="6.375" style="146" customWidth="1"/>
    <col min="9981" max="9981" width="6.75" style="146" customWidth="1"/>
    <col min="9982" max="9983" width="5" style="146" bestFit="1" customWidth="1"/>
    <col min="9984" max="9984" width="10.125" style="146"/>
    <col min="9985" max="9992" width="0" style="146" hidden="1" customWidth="1"/>
    <col min="9993" max="10225" width="10.125" style="146"/>
    <col min="10226" max="10226" width="1.75" style="146" customWidth="1"/>
    <col min="10227" max="10227" width="26.5" style="146" bestFit="1" customWidth="1"/>
    <col min="10228" max="10228" width="19.375" style="146" bestFit="1" customWidth="1"/>
    <col min="10229" max="10229" width="1.75" style="146" customWidth="1"/>
    <col min="10230" max="10230" width="15" style="146" bestFit="1" customWidth="1"/>
    <col min="10231" max="10231" width="5" style="146" bestFit="1" customWidth="1"/>
    <col min="10232" max="10232" width="9.75" style="146" bestFit="1" customWidth="1"/>
    <col min="10233" max="10234" width="5" style="146" bestFit="1" customWidth="1"/>
    <col min="10235" max="10235" width="6.25" style="146" customWidth="1"/>
    <col min="10236" max="10236" width="6.375" style="146" customWidth="1"/>
    <col min="10237" max="10237" width="6.75" style="146" customWidth="1"/>
    <col min="10238" max="10239" width="5" style="146" bestFit="1" customWidth="1"/>
    <col min="10240" max="10240" width="10.125" style="146"/>
    <col min="10241" max="10248" width="0" style="146" hidden="1" customWidth="1"/>
    <col min="10249" max="10481" width="10.125" style="146"/>
    <col min="10482" max="10482" width="1.75" style="146" customWidth="1"/>
    <col min="10483" max="10483" width="26.5" style="146" bestFit="1" customWidth="1"/>
    <col min="10484" max="10484" width="19.375" style="146" bestFit="1" customWidth="1"/>
    <col min="10485" max="10485" width="1.75" style="146" customWidth="1"/>
    <col min="10486" max="10486" width="15" style="146" bestFit="1" customWidth="1"/>
    <col min="10487" max="10487" width="5" style="146" bestFit="1" customWidth="1"/>
    <col min="10488" max="10488" width="9.75" style="146" bestFit="1" customWidth="1"/>
    <col min="10489" max="10490" width="5" style="146" bestFit="1" customWidth="1"/>
    <col min="10491" max="10491" width="6.25" style="146" customWidth="1"/>
    <col min="10492" max="10492" width="6.375" style="146" customWidth="1"/>
    <col min="10493" max="10493" width="6.75" style="146" customWidth="1"/>
    <col min="10494" max="10495" width="5" style="146" bestFit="1" customWidth="1"/>
    <col min="10496" max="10496" width="10.125" style="146"/>
    <col min="10497" max="10504" width="0" style="146" hidden="1" customWidth="1"/>
    <col min="10505" max="10737" width="10.125" style="146"/>
    <col min="10738" max="10738" width="1.75" style="146" customWidth="1"/>
    <col min="10739" max="10739" width="26.5" style="146" bestFit="1" customWidth="1"/>
    <col min="10740" max="10740" width="19.375" style="146" bestFit="1" customWidth="1"/>
    <col min="10741" max="10741" width="1.75" style="146" customWidth="1"/>
    <col min="10742" max="10742" width="15" style="146" bestFit="1" customWidth="1"/>
    <col min="10743" max="10743" width="5" style="146" bestFit="1" customWidth="1"/>
    <col min="10744" max="10744" width="9.75" style="146" bestFit="1" customWidth="1"/>
    <col min="10745" max="10746" width="5" style="146" bestFit="1" customWidth="1"/>
    <col min="10747" max="10747" width="6.25" style="146" customWidth="1"/>
    <col min="10748" max="10748" width="6.375" style="146" customWidth="1"/>
    <col min="10749" max="10749" width="6.75" style="146" customWidth="1"/>
    <col min="10750" max="10751" width="5" style="146" bestFit="1" customWidth="1"/>
    <col min="10752" max="10752" width="10.125" style="146"/>
    <col min="10753" max="10760" width="0" style="146" hidden="1" customWidth="1"/>
    <col min="10761" max="10993" width="10.125" style="146"/>
    <col min="10994" max="10994" width="1.75" style="146" customWidth="1"/>
    <col min="10995" max="10995" width="26.5" style="146" bestFit="1" customWidth="1"/>
    <col min="10996" max="10996" width="19.375" style="146" bestFit="1" customWidth="1"/>
    <col min="10997" max="10997" width="1.75" style="146" customWidth="1"/>
    <col min="10998" max="10998" width="15" style="146" bestFit="1" customWidth="1"/>
    <col min="10999" max="10999" width="5" style="146" bestFit="1" customWidth="1"/>
    <col min="11000" max="11000" width="9.75" style="146" bestFit="1" customWidth="1"/>
    <col min="11001" max="11002" width="5" style="146" bestFit="1" customWidth="1"/>
    <col min="11003" max="11003" width="6.25" style="146" customWidth="1"/>
    <col min="11004" max="11004" width="6.375" style="146" customWidth="1"/>
    <col min="11005" max="11005" width="6.75" style="146" customWidth="1"/>
    <col min="11006" max="11007" width="5" style="146" bestFit="1" customWidth="1"/>
    <col min="11008" max="11008" width="10.125" style="146"/>
    <col min="11009" max="11016" width="0" style="146" hidden="1" customWidth="1"/>
    <col min="11017" max="11249" width="10.125" style="146"/>
    <col min="11250" max="11250" width="1.75" style="146" customWidth="1"/>
    <col min="11251" max="11251" width="26.5" style="146" bestFit="1" customWidth="1"/>
    <col min="11252" max="11252" width="19.375" style="146" bestFit="1" customWidth="1"/>
    <col min="11253" max="11253" width="1.75" style="146" customWidth="1"/>
    <col min="11254" max="11254" width="15" style="146" bestFit="1" customWidth="1"/>
    <col min="11255" max="11255" width="5" style="146" bestFit="1" customWidth="1"/>
    <col min="11256" max="11256" width="9.75" style="146" bestFit="1" customWidth="1"/>
    <col min="11257" max="11258" width="5" style="146" bestFit="1" customWidth="1"/>
    <col min="11259" max="11259" width="6.25" style="146" customWidth="1"/>
    <col min="11260" max="11260" width="6.375" style="146" customWidth="1"/>
    <col min="11261" max="11261" width="6.75" style="146" customWidth="1"/>
    <col min="11262" max="11263" width="5" style="146" bestFit="1" customWidth="1"/>
    <col min="11264" max="11264" width="10.125" style="146"/>
    <col min="11265" max="11272" width="0" style="146" hidden="1" customWidth="1"/>
    <col min="11273" max="11505" width="10.125" style="146"/>
    <col min="11506" max="11506" width="1.75" style="146" customWidth="1"/>
    <col min="11507" max="11507" width="26.5" style="146" bestFit="1" customWidth="1"/>
    <col min="11508" max="11508" width="19.375" style="146" bestFit="1" customWidth="1"/>
    <col min="11509" max="11509" width="1.75" style="146" customWidth="1"/>
    <col min="11510" max="11510" width="15" style="146" bestFit="1" customWidth="1"/>
    <col min="11511" max="11511" width="5" style="146" bestFit="1" customWidth="1"/>
    <col min="11512" max="11512" width="9.75" style="146" bestFit="1" customWidth="1"/>
    <col min="11513" max="11514" width="5" style="146" bestFit="1" customWidth="1"/>
    <col min="11515" max="11515" width="6.25" style="146" customWidth="1"/>
    <col min="11516" max="11516" width="6.375" style="146" customWidth="1"/>
    <col min="11517" max="11517" width="6.75" style="146" customWidth="1"/>
    <col min="11518" max="11519" width="5" style="146" bestFit="1" customWidth="1"/>
    <col min="11520" max="11520" width="10.125" style="146"/>
    <col min="11521" max="11528" width="0" style="146" hidden="1" customWidth="1"/>
    <col min="11529" max="11761" width="10.125" style="146"/>
    <col min="11762" max="11762" width="1.75" style="146" customWidth="1"/>
    <col min="11763" max="11763" width="26.5" style="146" bestFit="1" customWidth="1"/>
    <col min="11764" max="11764" width="19.375" style="146" bestFit="1" customWidth="1"/>
    <col min="11765" max="11765" width="1.75" style="146" customWidth="1"/>
    <col min="11766" max="11766" width="15" style="146" bestFit="1" customWidth="1"/>
    <col min="11767" max="11767" width="5" style="146" bestFit="1" customWidth="1"/>
    <col min="11768" max="11768" width="9.75" style="146" bestFit="1" customWidth="1"/>
    <col min="11769" max="11770" width="5" style="146" bestFit="1" customWidth="1"/>
    <col min="11771" max="11771" width="6.25" style="146" customWidth="1"/>
    <col min="11772" max="11772" width="6.375" style="146" customWidth="1"/>
    <col min="11773" max="11773" width="6.75" style="146" customWidth="1"/>
    <col min="11774" max="11775" width="5" style="146" bestFit="1" customWidth="1"/>
    <col min="11776" max="11776" width="10.125" style="146"/>
    <col min="11777" max="11784" width="0" style="146" hidden="1" customWidth="1"/>
    <col min="11785" max="12017" width="10.125" style="146"/>
    <col min="12018" max="12018" width="1.75" style="146" customWidth="1"/>
    <col min="12019" max="12019" width="26.5" style="146" bestFit="1" customWidth="1"/>
    <col min="12020" max="12020" width="19.375" style="146" bestFit="1" customWidth="1"/>
    <col min="12021" max="12021" width="1.75" style="146" customWidth="1"/>
    <col min="12022" max="12022" width="15" style="146" bestFit="1" customWidth="1"/>
    <col min="12023" max="12023" width="5" style="146" bestFit="1" customWidth="1"/>
    <col min="12024" max="12024" width="9.75" style="146" bestFit="1" customWidth="1"/>
    <col min="12025" max="12026" width="5" style="146" bestFit="1" customWidth="1"/>
    <col min="12027" max="12027" width="6.25" style="146" customWidth="1"/>
    <col min="12028" max="12028" width="6.375" style="146" customWidth="1"/>
    <col min="12029" max="12029" width="6.75" style="146" customWidth="1"/>
    <col min="12030" max="12031" width="5" style="146" bestFit="1" customWidth="1"/>
    <col min="12032" max="12032" width="10.125" style="146"/>
    <col min="12033" max="12040" width="0" style="146" hidden="1" customWidth="1"/>
    <col min="12041" max="12273" width="10.125" style="146"/>
    <col min="12274" max="12274" width="1.75" style="146" customWidth="1"/>
    <col min="12275" max="12275" width="26.5" style="146" bestFit="1" customWidth="1"/>
    <col min="12276" max="12276" width="19.375" style="146" bestFit="1" customWidth="1"/>
    <col min="12277" max="12277" width="1.75" style="146" customWidth="1"/>
    <col min="12278" max="12278" width="15" style="146" bestFit="1" customWidth="1"/>
    <col min="12279" max="12279" width="5" style="146" bestFit="1" customWidth="1"/>
    <col min="12280" max="12280" width="9.75" style="146" bestFit="1" customWidth="1"/>
    <col min="12281" max="12282" width="5" style="146" bestFit="1" customWidth="1"/>
    <col min="12283" max="12283" width="6.25" style="146" customWidth="1"/>
    <col min="12284" max="12284" width="6.375" style="146" customWidth="1"/>
    <col min="12285" max="12285" width="6.75" style="146" customWidth="1"/>
    <col min="12286" max="12287" width="5" style="146" bestFit="1" customWidth="1"/>
    <col min="12288" max="12288" width="10.125" style="146"/>
    <col min="12289" max="12296" width="0" style="146" hidden="1" customWidth="1"/>
    <col min="12297" max="12529" width="10.125" style="146"/>
    <col min="12530" max="12530" width="1.75" style="146" customWidth="1"/>
    <col min="12531" max="12531" width="26.5" style="146" bestFit="1" customWidth="1"/>
    <col min="12532" max="12532" width="19.375" style="146" bestFit="1" customWidth="1"/>
    <col min="12533" max="12533" width="1.75" style="146" customWidth="1"/>
    <col min="12534" max="12534" width="15" style="146" bestFit="1" customWidth="1"/>
    <col min="12535" max="12535" width="5" style="146" bestFit="1" customWidth="1"/>
    <col min="12536" max="12536" width="9.75" style="146" bestFit="1" customWidth="1"/>
    <col min="12537" max="12538" width="5" style="146" bestFit="1" customWidth="1"/>
    <col min="12539" max="12539" width="6.25" style="146" customWidth="1"/>
    <col min="12540" max="12540" width="6.375" style="146" customWidth="1"/>
    <col min="12541" max="12541" width="6.75" style="146" customWidth="1"/>
    <col min="12542" max="12543" width="5" style="146" bestFit="1" customWidth="1"/>
    <col min="12544" max="12544" width="10.125" style="146"/>
    <col min="12545" max="12552" width="0" style="146" hidden="1" customWidth="1"/>
    <col min="12553" max="12785" width="10.125" style="146"/>
    <col min="12786" max="12786" width="1.75" style="146" customWidth="1"/>
    <col min="12787" max="12787" width="26.5" style="146" bestFit="1" customWidth="1"/>
    <col min="12788" max="12788" width="19.375" style="146" bestFit="1" customWidth="1"/>
    <col min="12789" max="12789" width="1.75" style="146" customWidth="1"/>
    <col min="12790" max="12790" width="15" style="146" bestFit="1" customWidth="1"/>
    <col min="12791" max="12791" width="5" style="146" bestFit="1" customWidth="1"/>
    <col min="12792" max="12792" width="9.75" style="146" bestFit="1" customWidth="1"/>
    <col min="12793" max="12794" width="5" style="146" bestFit="1" customWidth="1"/>
    <col min="12795" max="12795" width="6.25" style="146" customWidth="1"/>
    <col min="12796" max="12796" width="6.375" style="146" customWidth="1"/>
    <col min="12797" max="12797" width="6.75" style="146" customWidth="1"/>
    <col min="12798" max="12799" width="5" style="146" bestFit="1" customWidth="1"/>
    <col min="12800" max="12800" width="10.125" style="146"/>
    <col min="12801" max="12808" width="0" style="146" hidden="1" customWidth="1"/>
    <col min="12809" max="13041" width="10.125" style="146"/>
    <col min="13042" max="13042" width="1.75" style="146" customWidth="1"/>
    <col min="13043" max="13043" width="26.5" style="146" bestFit="1" customWidth="1"/>
    <col min="13044" max="13044" width="19.375" style="146" bestFit="1" customWidth="1"/>
    <col min="13045" max="13045" width="1.75" style="146" customWidth="1"/>
    <col min="13046" max="13046" width="15" style="146" bestFit="1" customWidth="1"/>
    <col min="13047" max="13047" width="5" style="146" bestFit="1" customWidth="1"/>
    <col min="13048" max="13048" width="9.75" style="146" bestFit="1" customWidth="1"/>
    <col min="13049" max="13050" width="5" style="146" bestFit="1" customWidth="1"/>
    <col min="13051" max="13051" width="6.25" style="146" customWidth="1"/>
    <col min="13052" max="13052" width="6.375" style="146" customWidth="1"/>
    <col min="13053" max="13053" width="6.75" style="146" customWidth="1"/>
    <col min="13054" max="13055" width="5" style="146" bestFit="1" customWidth="1"/>
    <col min="13056" max="13056" width="10.125" style="146"/>
    <col min="13057" max="13064" width="0" style="146" hidden="1" customWidth="1"/>
    <col min="13065" max="13297" width="10.125" style="146"/>
    <col min="13298" max="13298" width="1.75" style="146" customWidth="1"/>
    <col min="13299" max="13299" width="26.5" style="146" bestFit="1" customWidth="1"/>
    <col min="13300" max="13300" width="19.375" style="146" bestFit="1" customWidth="1"/>
    <col min="13301" max="13301" width="1.75" style="146" customWidth="1"/>
    <col min="13302" max="13302" width="15" style="146" bestFit="1" customWidth="1"/>
    <col min="13303" max="13303" width="5" style="146" bestFit="1" customWidth="1"/>
    <col min="13304" max="13304" width="9.75" style="146" bestFit="1" customWidth="1"/>
    <col min="13305" max="13306" width="5" style="146" bestFit="1" customWidth="1"/>
    <col min="13307" max="13307" width="6.25" style="146" customWidth="1"/>
    <col min="13308" max="13308" width="6.375" style="146" customWidth="1"/>
    <col min="13309" max="13309" width="6.75" style="146" customWidth="1"/>
    <col min="13310" max="13311" width="5" style="146" bestFit="1" customWidth="1"/>
    <col min="13312" max="13312" width="10.125" style="146"/>
    <col min="13313" max="13320" width="0" style="146" hidden="1" customWidth="1"/>
    <col min="13321" max="13553" width="10.125" style="146"/>
    <col min="13554" max="13554" width="1.75" style="146" customWidth="1"/>
    <col min="13555" max="13555" width="26.5" style="146" bestFit="1" customWidth="1"/>
    <col min="13556" max="13556" width="19.375" style="146" bestFit="1" customWidth="1"/>
    <col min="13557" max="13557" width="1.75" style="146" customWidth="1"/>
    <col min="13558" max="13558" width="15" style="146" bestFit="1" customWidth="1"/>
    <col min="13559" max="13559" width="5" style="146" bestFit="1" customWidth="1"/>
    <col min="13560" max="13560" width="9.75" style="146" bestFit="1" customWidth="1"/>
    <col min="13561" max="13562" width="5" style="146" bestFit="1" customWidth="1"/>
    <col min="13563" max="13563" width="6.25" style="146" customWidth="1"/>
    <col min="13564" max="13564" width="6.375" style="146" customWidth="1"/>
    <col min="13565" max="13565" width="6.75" style="146" customWidth="1"/>
    <col min="13566" max="13567" width="5" style="146" bestFit="1" customWidth="1"/>
    <col min="13568" max="13568" width="10.125" style="146"/>
    <col min="13569" max="13576" width="0" style="146" hidden="1" customWidth="1"/>
    <col min="13577" max="13809" width="10.125" style="146"/>
    <col min="13810" max="13810" width="1.75" style="146" customWidth="1"/>
    <col min="13811" max="13811" width="26.5" style="146" bestFit="1" customWidth="1"/>
    <col min="13812" max="13812" width="19.375" style="146" bestFit="1" customWidth="1"/>
    <col min="13813" max="13813" width="1.75" style="146" customWidth="1"/>
    <col min="13814" max="13814" width="15" style="146" bestFit="1" customWidth="1"/>
    <col min="13815" max="13815" width="5" style="146" bestFit="1" customWidth="1"/>
    <col min="13816" max="13816" width="9.75" style="146" bestFit="1" customWidth="1"/>
    <col min="13817" max="13818" width="5" style="146" bestFit="1" customWidth="1"/>
    <col min="13819" max="13819" width="6.25" style="146" customWidth="1"/>
    <col min="13820" max="13820" width="6.375" style="146" customWidth="1"/>
    <col min="13821" max="13821" width="6.75" style="146" customWidth="1"/>
    <col min="13822" max="13823" width="5" style="146" bestFit="1" customWidth="1"/>
    <col min="13824" max="13824" width="10.125" style="146"/>
    <col min="13825" max="13832" width="0" style="146" hidden="1" customWidth="1"/>
    <col min="13833" max="14065" width="10.125" style="146"/>
    <col min="14066" max="14066" width="1.75" style="146" customWidth="1"/>
    <col min="14067" max="14067" width="26.5" style="146" bestFit="1" customWidth="1"/>
    <col min="14068" max="14068" width="19.375" style="146" bestFit="1" customWidth="1"/>
    <col min="14069" max="14069" width="1.75" style="146" customWidth="1"/>
    <col min="14070" max="14070" width="15" style="146" bestFit="1" customWidth="1"/>
    <col min="14071" max="14071" width="5" style="146" bestFit="1" customWidth="1"/>
    <col min="14072" max="14072" width="9.75" style="146" bestFit="1" customWidth="1"/>
    <col min="14073" max="14074" width="5" style="146" bestFit="1" customWidth="1"/>
    <col min="14075" max="14075" width="6.25" style="146" customWidth="1"/>
    <col min="14076" max="14076" width="6.375" style="146" customWidth="1"/>
    <col min="14077" max="14077" width="6.75" style="146" customWidth="1"/>
    <col min="14078" max="14079" width="5" style="146" bestFit="1" customWidth="1"/>
    <col min="14080" max="14080" width="10.125" style="146"/>
    <col min="14081" max="14088" width="0" style="146" hidden="1" customWidth="1"/>
    <col min="14089" max="14321" width="10.125" style="146"/>
    <col min="14322" max="14322" width="1.75" style="146" customWidth="1"/>
    <col min="14323" max="14323" width="26.5" style="146" bestFit="1" customWidth="1"/>
    <col min="14324" max="14324" width="19.375" style="146" bestFit="1" customWidth="1"/>
    <col min="14325" max="14325" width="1.75" style="146" customWidth="1"/>
    <col min="14326" max="14326" width="15" style="146" bestFit="1" customWidth="1"/>
    <col min="14327" max="14327" width="5" style="146" bestFit="1" customWidth="1"/>
    <col min="14328" max="14328" width="9.75" style="146" bestFit="1" customWidth="1"/>
    <col min="14329" max="14330" width="5" style="146" bestFit="1" customWidth="1"/>
    <col min="14331" max="14331" width="6.25" style="146" customWidth="1"/>
    <col min="14332" max="14332" width="6.375" style="146" customWidth="1"/>
    <col min="14333" max="14333" width="6.75" style="146" customWidth="1"/>
    <col min="14334" max="14335" width="5" style="146" bestFit="1" customWidth="1"/>
    <col min="14336" max="14336" width="10.125" style="146"/>
    <col min="14337" max="14344" width="0" style="146" hidden="1" customWidth="1"/>
    <col min="14345" max="14577" width="10.125" style="146"/>
    <col min="14578" max="14578" width="1.75" style="146" customWidth="1"/>
    <col min="14579" max="14579" width="26.5" style="146" bestFit="1" customWidth="1"/>
    <col min="14580" max="14580" width="19.375" style="146" bestFit="1" customWidth="1"/>
    <col min="14581" max="14581" width="1.75" style="146" customWidth="1"/>
    <col min="14582" max="14582" width="15" style="146" bestFit="1" customWidth="1"/>
    <col min="14583" max="14583" width="5" style="146" bestFit="1" customWidth="1"/>
    <col min="14584" max="14584" width="9.75" style="146" bestFit="1" customWidth="1"/>
    <col min="14585" max="14586" width="5" style="146" bestFit="1" customWidth="1"/>
    <col min="14587" max="14587" width="6.25" style="146" customWidth="1"/>
    <col min="14588" max="14588" width="6.375" style="146" customWidth="1"/>
    <col min="14589" max="14589" width="6.75" style="146" customWidth="1"/>
    <col min="14590" max="14591" width="5" style="146" bestFit="1" customWidth="1"/>
    <col min="14592" max="14592" width="10.125" style="146"/>
    <col min="14593" max="14600" width="0" style="146" hidden="1" customWidth="1"/>
    <col min="14601" max="14833" width="10.125" style="146"/>
    <col min="14834" max="14834" width="1.75" style="146" customWidth="1"/>
    <col min="14835" max="14835" width="26.5" style="146" bestFit="1" customWidth="1"/>
    <col min="14836" max="14836" width="19.375" style="146" bestFit="1" customWidth="1"/>
    <col min="14837" max="14837" width="1.75" style="146" customWidth="1"/>
    <col min="14838" max="14838" width="15" style="146" bestFit="1" customWidth="1"/>
    <col min="14839" max="14839" width="5" style="146" bestFit="1" customWidth="1"/>
    <col min="14840" max="14840" width="9.75" style="146" bestFit="1" customWidth="1"/>
    <col min="14841" max="14842" width="5" style="146" bestFit="1" customWidth="1"/>
    <col min="14843" max="14843" width="6.25" style="146" customWidth="1"/>
    <col min="14844" max="14844" width="6.375" style="146" customWidth="1"/>
    <col min="14845" max="14845" width="6.75" style="146" customWidth="1"/>
    <col min="14846" max="14847" width="5" style="146" bestFit="1" customWidth="1"/>
    <col min="14848" max="14848" width="10.125" style="146"/>
    <col min="14849" max="14856" width="0" style="146" hidden="1" customWidth="1"/>
    <col min="14857" max="15089" width="10.125" style="146"/>
    <col min="15090" max="15090" width="1.75" style="146" customWidth="1"/>
    <col min="15091" max="15091" width="26.5" style="146" bestFit="1" customWidth="1"/>
    <col min="15092" max="15092" width="19.375" style="146" bestFit="1" customWidth="1"/>
    <col min="15093" max="15093" width="1.75" style="146" customWidth="1"/>
    <col min="15094" max="15094" width="15" style="146" bestFit="1" customWidth="1"/>
    <col min="15095" max="15095" width="5" style="146" bestFit="1" customWidth="1"/>
    <col min="15096" max="15096" width="9.75" style="146" bestFit="1" customWidth="1"/>
    <col min="15097" max="15098" width="5" style="146" bestFit="1" customWidth="1"/>
    <col min="15099" max="15099" width="6.25" style="146" customWidth="1"/>
    <col min="15100" max="15100" width="6.375" style="146" customWidth="1"/>
    <col min="15101" max="15101" width="6.75" style="146" customWidth="1"/>
    <col min="15102" max="15103" width="5" style="146" bestFit="1" customWidth="1"/>
    <col min="15104" max="15104" width="10.125" style="146"/>
    <col min="15105" max="15112" width="0" style="146" hidden="1" customWidth="1"/>
    <col min="15113" max="15345" width="10.125" style="146"/>
    <col min="15346" max="15346" width="1.75" style="146" customWidth="1"/>
    <col min="15347" max="15347" width="26.5" style="146" bestFit="1" customWidth="1"/>
    <col min="15348" max="15348" width="19.375" style="146" bestFit="1" customWidth="1"/>
    <col min="15349" max="15349" width="1.75" style="146" customWidth="1"/>
    <col min="15350" max="15350" width="15" style="146" bestFit="1" customWidth="1"/>
    <col min="15351" max="15351" width="5" style="146" bestFit="1" customWidth="1"/>
    <col min="15352" max="15352" width="9.75" style="146" bestFit="1" customWidth="1"/>
    <col min="15353" max="15354" width="5" style="146" bestFit="1" customWidth="1"/>
    <col min="15355" max="15355" width="6.25" style="146" customWidth="1"/>
    <col min="15356" max="15356" width="6.375" style="146" customWidth="1"/>
    <col min="15357" max="15357" width="6.75" style="146" customWidth="1"/>
    <col min="15358" max="15359" width="5" style="146" bestFit="1" customWidth="1"/>
    <col min="15360" max="15360" width="10.125" style="146"/>
    <col min="15361" max="15368" width="0" style="146" hidden="1" customWidth="1"/>
    <col min="15369" max="15601" width="10.125" style="146"/>
    <col min="15602" max="15602" width="1.75" style="146" customWidth="1"/>
    <col min="15603" max="15603" width="26.5" style="146" bestFit="1" customWidth="1"/>
    <col min="15604" max="15604" width="19.375" style="146" bestFit="1" customWidth="1"/>
    <col min="15605" max="15605" width="1.75" style="146" customWidth="1"/>
    <col min="15606" max="15606" width="15" style="146" bestFit="1" customWidth="1"/>
    <col min="15607" max="15607" width="5" style="146" bestFit="1" customWidth="1"/>
    <col min="15608" max="15608" width="9.75" style="146" bestFit="1" customWidth="1"/>
    <col min="15609" max="15610" width="5" style="146" bestFit="1" customWidth="1"/>
    <col min="15611" max="15611" width="6.25" style="146" customWidth="1"/>
    <col min="15612" max="15612" width="6.375" style="146" customWidth="1"/>
    <col min="15613" max="15613" width="6.75" style="146" customWidth="1"/>
    <col min="15614" max="15615" width="5" style="146" bestFit="1" customWidth="1"/>
    <col min="15616" max="15616" width="10.125" style="146"/>
    <col min="15617" max="15624" width="0" style="146" hidden="1" customWidth="1"/>
    <col min="15625" max="15857" width="10.125" style="146"/>
    <col min="15858" max="15858" width="1.75" style="146" customWidth="1"/>
    <col min="15859" max="15859" width="26.5" style="146" bestFit="1" customWidth="1"/>
    <col min="15860" max="15860" width="19.375" style="146" bestFit="1" customWidth="1"/>
    <col min="15861" max="15861" width="1.75" style="146" customWidth="1"/>
    <col min="15862" max="15862" width="15" style="146" bestFit="1" customWidth="1"/>
    <col min="15863" max="15863" width="5" style="146" bestFit="1" customWidth="1"/>
    <col min="15864" max="15864" width="9.75" style="146" bestFit="1" customWidth="1"/>
    <col min="15865" max="15866" width="5" style="146" bestFit="1" customWidth="1"/>
    <col min="15867" max="15867" width="6.25" style="146" customWidth="1"/>
    <col min="15868" max="15868" width="6.375" style="146" customWidth="1"/>
    <col min="15869" max="15869" width="6.75" style="146" customWidth="1"/>
    <col min="15870" max="15871" width="5" style="146" bestFit="1" customWidth="1"/>
    <col min="15872" max="15872" width="10.125" style="146"/>
    <col min="15873" max="15880" width="0" style="146" hidden="1" customWidth="1"/>
    <col min="15881" max="16113" width="10.125" style="146"/>
    <col min="16114" max="16114" width="1.75" style="146" customWidth="1"/>
    <col min="16115" max="16115" width="26.5" style="146" bestFit="1" customWidth="1"/>
    <col min="16116" max="16116" width="19.375" style="146" bestFit="1" customWidth="1"/>
    <col min="16117" max="16117" width="1.75" style="146" customWidth="1"/>
    <col min="16118" max="16118" width="15" style="146" bestFit="1" customWidth="1"/>
    <col min="16119" max="16119" width="5" style="146" bestFit="1" customWidth="1"/>
    <col min="16120" max="16120" width="9.75" style="146" bestFit="1" customWidth="1"/>
    <col min="16121" max="16122" width="5" style="146" bestFit="1" customWidth="1"/>
    <col min="16123" max="16123" width="6.25" style="146" customWidth="1"/>
    <col min="16124" max="16124" width="6.375" style="146" customWidth="1"/>
    <col min="16125" max="16125" width="6.75" style="146" customWidth="1"/>
    <col min="16126" max="16127" width="5" style="146" bestFit="1" customWidth="1"/>
    <col min="16128" max="16128" width="10.125" style="146"/>
    <col min="16129" max="16136" width="0" style="146" hidden="1" customWidth="1"/>
    <col min="16137" max="16384" width="10.125" style="146"/>
  </cols>
  <sheetData>
    <row r="1" spans="1:37" ht="31.7" customHeight="1" x14ac:dyDescent="0.25">
      <c r="C1" s="808" t="str">
        <f>Startmenue!G2</f>
        <v>Version 1.2</v>
      </c>
      <c r="D1" s="146"/>
      <c r="E1" s="146"/>
      <c r="F1" s="146"/>
      <c r="H1" s="146"/>
      <c r="I1" s="146"/>
      <c r="J1" s="146"/>
      <c r="K1" s="146"/>
      <c r="U1" s="576"/>
      <c r="Z1" s="595"/>
      <c r="AE1" s="576"/>
      <c r="AJ1" s="576"/>
      <c r="AK1" s="597"/>
    </row>
    <row r="2" spans="1:37" ht="0.75" customHeight="1" x14ac:dyDescent="0.2">
      <c r="I2" s="584" t="s">
        <v>3631</v>
      </c>
    </row>
    <row r="3" spans="1:37" s="657" customFormat="1" ht="2.85" customHeight="1" x14ac:dyDescent="0.2">
      <c r="B3" s="680">
        <f>COLUMNS(C$2:$C3)</f>
        <v>1</v>
      </c>
      <c r="C3" s="680">
        <f>COLUMNS($C$2:D3)</f>
        <v>2</v>
      </c>
      <c r="D3" s="680">
        <f>COLUMNS($C$2:E3)</f>
        <v>3</v>
      </c>
      <c r="E3" s="680">
        <f>COLUMNS($C$2:F3)</f>
        <v>4</v>
      </c>
      <c r="F3" s="680">
        <f>COLUMNS($C$2:G3)</f>
        <v>5</v>
      </c>
      <c r="G3" s="680">
        <f>COLUMNS($C$2:H3)</f>
        <v>6</v>
      </c>
      <c r="H3" s="680">
        <f>COLUMNS($C$2:I3)</f>
        <v>7</v>
      </c>
      <c r="I3" s="680">
        <f>COLUMNS($C$2:J3)</f>
        <v>8</v>
      </c>
      <c r="J3" s="680">
        <f>COLUMNS($C$2:K3)</f>
        <v>9</v>
      </c>
      <c r="K3" s="680">
        <f>COLUMNS($C$2:L3)</f>
        <v>10</v>
      </c>
    </row>
    <row r="4" spans="1:37" ht="13.7" customHeight="1" x14ac:dyDescent="0.2">
      <c r="B4" s="595" t="s">
        <v>4368</v>
      </c>
      <c r="D4" s="22" t="s">
        <v>4405</v>
      </c>
    </row>
    <row r="5" spans="1:37" ht="13.7" customHeight="1" x14ac:dyDescent="0.25">
      <c r="B5" s="595" t="s">
        <v>4369</v>
      </c>
      <c r="C5" s="583"/>
      <c r="D5" s="481" t="s">
        <v>4590</v>
      </c>
    </row>
    <row r="6" spans="1:37" ht="15" x14ac:dyDescent="0.25">
      <c r="C6" s="583"/>
      <c r="D6" s="577" t="s">
        <v>4589</v>
      </c>
    </row>
    <row r="7" spans="1:37" ht="15" x14ac:dyDescent="0.25">
      <c r="C7" s="583"/>
      <c r="D7" s="577" t="s">
        <v>4586</v>
      </c>
    </row>
    <row r="8" spans="1:37" ht="0.75" customHeight="1" x14ac:dyDescent="0.25">
      <c r="C8" s="583"/>
      <c r="D8" s="577"/>
    </row>
    <row r="9" spans="1:37" ht="0.75" customHeight="1" x14ac:dyDescent="0.25">
      <c r="C9" s="583"/>
      <c r="D9" s="577"/>
    </row>
    <row r="10" spans="1:37" ht="0.75" customHeight="1" x14ac:dyDescent="0.2">
      <c r="D10" s="577"/>
    </row>
    <row r="11" spans="1:37" ht="0.75" customHeight="1" x14ac:dyDescent="0.2">
      <c r="B11" s="863"/>
      <c r="C11" s="660"/>
      <c r="D11" s="870"/>
      <c r="E11" s="659"/>
      <c r="F11" s="659"/>
      <c r="G11" s="659"/>
      <c r="H11" s="659"/>
      <c r="I11" s="659"/>
      <c r="J11" s="659"/>
      <c r="K11" s="659"/>
    </row>
    <row r="12" spans="1:37" s="574" customFormat="1" ht="13.7" customHeight="1" x14ac:dyDescent="0.2">
      <c r="A12" s="947"/>
      <c r="B12" s="1104"/>
      <c r="C12" s="1257"/>
      <c r="D12" s="1263" t="s">
        <v>4594</v>
      </c>
      <c r="E12" s="1169"/>
      <c r="F12" s="1264"/>
      <c r="G12" s="1171"/>
      <c r="H12" s="1263" t="s">
        <v>4595</v>
      </c>
      <c r="I12" s="1169"/>
      <c r="J12" s="1169"/>
      <c r="K12" s="1171"/>
      <c r="L12" s="951"/>
    </row>
    <row r="13" spans="1:37" ht="0.75" customHeight="1" x14ac:dyDescent="0.2">
      <c r="A13" s="17"/>
      <c r="B13" s="1019"/>
      <c r="C13" s="1258"/>
      <c r="D13" s="880"/>
      <c r="E13" s="597"/>
      <c r="F13" s="597"/>
      <c r="G13" s="875"/>
      <c r="H13" s="880"/>
      <c r="I13" s="597"/>
      <c r="J13" s="597"/>
      <c r="K13" s="875"/>
      <c r="L13" s="28"/>
    </row>
    <row r="14" spans="1:37" s="574" customFormat="1" ht="29.25" x14ac:dyDescent="0.25">
      <c r="A14" s="947"/>
      <c r="B14" s="1102"/>
      <c r="C14" s="1259" t="s">
        <v>3620</v>
      </c>
      <c r="D14" s="1110" t="s">
        <v>3621</v>
      </c>
      <c r="E14" s="1114" t="s">
        <v>3621</v>
      </c>
      <c r="F14" s="1115" t="s">
        <v>3761</v>
      </c>
      <c r="G14" s="1265" t="s">
        <v>3762</v>
      </c>
      <c r="H14" s="1110" t="s">
        <v>3621</v>
      </c>
      <c r="I14" s="1114" t="s">
        <v>3621</v>
      </c>
      <c r="J14" s="1116" t="s">
        <v>3763</v>
      </c>
      <c r="K14" s="1265" t="s">
        <v>3762</v>
      </c>
      <c r="L14" s="1103"/>
    </row>
    <row r="15" spans="1:37" s="574" customFormat="1" x14ac:dyDescent="0.25">
      <c r="A15" s="947"/>
      <c r="B15" s="1102"/>
      <c r="C15" s="1259" t="s">
        <v>3592</v>
      </c>
      <c r="D15" s="1110" t="s">
        <v>3594</v>
      </c>
      <c r="E15" s="1114" t="s">
        <v>3595</v>
      </c>
      <c r="F15" s="1114" t="s">
        <v>3594</v>
      </c>
      <c r="G15" s="1112" t="s">
        <v>3595</v>
      </c>
      <c r="H15" s="1110" t="s">
        <v>3594</v>
      </c>
      <c r="I15" s="1114" t="s">
        <v>3595</v>
      </c>
      <c r="J15" s="1114" t="s">
        <v>3594</v>
      </c>
      <c r="K15" s="1112" t="s">
        <v>3595</v>
      </c>
      <c r="L15" s="1103"/>
    </row>
    <row r="16" spans="1:37" ht="0.75" customHeight="1" x14ac:dyDescent="0.25">
      <c r="A16" s="17"/>
      <c r="B16" s="1019"/>
      <c r="C16" s="1258"/>
      <c r="D16" s="880"/>
      <c r="E16" s="597"/>
      <c r="F16" s="597"/>
      <c r="G16" s="875"/>
      <c r="H16" s="880"/>
      <c r="I16" s="597"/>
      <c r="J16" s="597"/>
      <c r="K16" s="875"/>
      <c r="L16" s="869"/>
    </row>
    <row r="17" spans="1:12" s="657" customFormat="1" ht="11.25" x14ac:dyDescent="0.2">
      <c r="A17" s="816"/>
      <c r="B17" s="1019"/>
      <c r="C17" s="1260" t="s">
        <v>4127</v>
      </c>
      <c r="D17" s="1093">
        <v>2</v>
      </c>
      <c r="E17" s="680">
        <v>2</v>
      </c>
      <c r="F17" s="680">
        <v>4</v>
      </c>
      <c r="G17" s="1092">
        <v>4</v>
      </c>
      <c r="H17" s="1093">
        <v>2</v>
      </c>
      <c r="I17" s="680">
        <v>2</v>
      </c>
      <c r="J17" s="680">
        <v>4</v>
      </c>
      <c r="K17" s="1092">
        <v>4</v>
      </c>
      <c r="L17" s="1101"/>
    </row>
    <row r="18" spans="1:12" s="657" customFormat="1" ht="10.9" x14ac:dyDescent="0.2">
      <c r="A18" s="816"/>
      <c r="B18" s="1019"/>
      <c r="C18" s="1260" t="s">
        <v>3727</v>
      </c>
      <c r="D18" s="1093">
        <v>10</v>
      </c>
      <c r="E18" s="680">
        <v>20</v>
      </c>
      <c r="F18" s="680">
        <v>10</v>
      </c>
      <c r="G18" s="1092">
        <v>20</v>
      </c>
      <c r="H18" s="1093">
        <v>10</v>
      </c>
      <c r="I18" s="680">
        <v>20</v>
      </c>
      <c r="J18" s="680">
        <v>10</v>
      </c>
      <c r="K18" s="1092">
        <v>20</v>
      </c>
      <c r="L18" s="1101"/>
    </row>
    <row r="19" spans="1:12" s="657" customFormat="1" ht="10.9" x14ac:dyDescent="0.2">
      <c r="A19" s="816"/>
      <c r="B19" s="1019"/>
      <c r="C19" s="1260" t="s">
        <v>3728</v>
      </c>
      <c r="D19" s="1093">
        <v>12</v>
      </c>
      <c r="E19" s="680">
        <v>22</v>
      </c>
      <c r="F19" s="680">
        <v>14</v>
      </c>
      <c r="G19" s="1092">
        <v>24</v>
      </c>
      <c r="H19" s="1270">
        <v>12</v>
      </c>
      <c r="I19" s="680">
        <v>22</v>
      </c>
      <c r="J19" s="680">
        <v>14</v>
      </c>
      <c r="K19" s="1092">
        <v>24</v>
      </c>
      <c r="L19" s="1101"/>
    </row>
    <row r="20" spans="1:12" ht="0.75" customHeight="1" x14ac:dyDescent="0.2">
      <c r="A20" s="17"/>
      <c r="B20" s="1019"/>
      <c r="C20" s="1258"/>
      <c r="D20" s="880"/>
      <c r="E20" s="597"/>
      <c r="F20" s="597"/>
      <c r="G20" s="875"/>
      <c r="H20" s="880"/>
      <c r="I20" s="597"/>
      <c r="J20" s="597"/>
      <c r="K20" s="875"/>
      <c r="L20" s="28"/>
    </row>
    <row r="21" spans="1:12" s="574" customFormat="1" ht="13.7" customHeight="1" x14ac:dyDescent="0.2">
      <c r="A21" s="947"/>
      <c r="B21" s="1102"/>
      <c r="C21" s="1259" t="s">
        <v>3738</v>
      </c>
      <c r="D21" s="1182" t="s">
        <v>30</v>
      </c>
      <c r="E21" s="1095" t="s">
        <v>30</v>
      </c>
      <c r="F21" s="1095" t="s">
        <v>30</v>
      </c>
      <c r="G21" s="1184" t="s">
        <v>30</v>
      </c>
      <c r="H21" s="1182" t="s">
        <v>30</v>
      </c>
      <c r="I21" s="1095" t="s">
        <v>30</v>
      </c>
      <c r="J21" s="1095" t="s">
        <v>30</v>
      </c>
      <c r="K21" s="1184" t="s">
        <v>30</v>
      </c>
      <c r="L21" s="951"/>
    </row>
    <row r="22" spans="1:12" ht="13.7" customHeight="1" x14ac:dyDescent="0.2">
      <c r="A22" s="17"/>
      <c r="B22" s="890">
        <v>1</v>
      </c>
      <c r="C22" s="1261" t="s">
        <v>3494</v>
      </c>
      <c r="D22" s="834"/>
      <c r="G22" s="842"/>
      <c r="H22" s="834"/>
      <c r="K22" s="842"/>
      <c r="L22" s="28"/>
    </row>
    <row r="23" spans="1:12" ht="13.7" customHeight="1" x14ac:dyDescent="0.2">
      <c r="A23" s="17"/>
      <c r="B23" s="890">
        <f>B22+1</f>
        <v>2</v>
      </c>
      <c r="C23" s="1261" t="s">
        <v>3622</v>
      </c>
      <c r="D23" s="834">
        <v>0</v>
      </c>
      <c r="E23" s="576">
        <v>0</v>
      </c>
      <c r="F23" s="576">
        <v>20</v>
      </c>
      <c r="G23" s="842">
        <v>10</v>
      </c>
      <c r="H23" s="1266">
        <v>0</v>
      </c>
      <c r="I23" s="576">
        <v>0</v>
      </c>
      <c r="J23" s="576">
        <v>0</v>
      </c>
      <c r="K23" s="842">
        <v>0</v>
      </c>
      <c r="L23" s="28"/>
    </row>
    <row r="24" spans="1:12" ht="13.7" x14ac:dyDescent="0.2">
      <c r="A24" s="17"/>
      <c r="B24" s="890">
        <f t="shared" ref="B24:B31" si="0">B23+1</f>
        <v>3</v>
      </c>
      <c r="C24" s="1261" t="s">
        <v>3623</v>
      </c>
      <c r="D24" s="834">
        <v>0</v>
      </c>
      <c r="E24" s="576">
        <v>0</v>
      </c>
      <c r="F24" s="576">
        <v>0</v>
      </c>
      <c r="G24" s="842">
        <v>0</v>
      </c>
      <c r="H24" s="1266">
        <v>0</v>
      </c>
      <c r="I24" s="576">
        <v>0</v>
      </c>
      <c r="J24" s="576">
        <v>0</v>
      </c>
      <c r="K24" s="842">
        <v>0</v>
      </c>
      <c r="L24" s="28"/>
    </row>
    <row r="25" spans="1:12" x14ac:dyDescent="0.2">
      <c r="A25" s="17"/>
      <c r="B25" s="890">
        <f t="shared" si="0"/>
        <v>4</v>
      </c>
      <c r="C25" s="1261" t="s">
        <v>3624</v>
      </c>
      <c r="D25" s="834">
        <v>20</v>
      </c>
      <c r="E25" s="576">
        <v>10</v>
      </c>
      <c r="F25" s="576">
        <v>30</v>
      </c>
      <c r="G25" s="842">
        <v>20</v>
      </c>
      <c r="H25" s="1266">
        <v>20</v>
      </c>
      <c r="I25" s="576">
        <v>20</v>
      </c>
      <c r="J25" s="576">
        <v>20</v>
      </c>
      <c r="K25" s="842">
        <v>20</v>
      </c>
      <c r="L25" s="28"/>
    </row>
    <row r="26" spans="1:12" ht="13.7" x14ac:dyDescent="0.2">
      <c r="A26" s="17"/>
      <c r="B26" s="890">
        <f t="shared" si="0"/>
        <v>5</v>
      </c>
      <c r="C26" s="1261" t="s">
        <v>3625</v>
      </c>
      <c r="D26" s="834">
        <v>10</v>
      </c>
      <c r="E26" s="576">
        <v>0</v>
      </c>
      <c r="F26" s="576">
        <v>20</v>
      </c>
      <c r="G26" s="842">
        <v>10</v>
      </c>
      <c r="H26" s="1266">
        <v>0</v>
      </c>
      <c r="I26" s="576">
        <v>0</v>
      </c>
      <c r="J26" s="576">
        <v>0</v>
      </c>
      <c r="K26" s="842">
        <v>0</v>
      </c>
      <c r="L26" s="28"/>
    </row>
    <row r="27" spans="1:12" x14ac:dyDescent="0.2">
      <c r="A27" s="17"/>
      <c r="B27" s="890">
        <f t="shared" si="0"/>
        <v>6</v>
      </c>
      <c r="C27" s="1261" t="s">
        <v>3626</v>
      </c>
      <c r="D27" s="834">
        <v>10</v>
      </c>
      <c r="E27" s="576">
        <v>10</v>
      </c>
      <c r="F27" s="576">
        <v>10</v>
      </c>
      <c r="G27" s="842">
        <v>10</v>
      </c>
      <c r="H27" s="1266">
        <v>10</v>
      </c>
      <c r="I27" s="576">
        <v>10</v>
      </c>
      <c r="J27" s="576">
        <v>10</v>
      </c>
      <c r="K27" s="842">
        <v>10</v>
      </c>
      <c r="L27" s="28"/>
    </row>
    <row r="28" spans="1:12" x14ac:dyDescent="0.2">
      <c r="A28" s="17"/>
      <c r="B28" s="890">
        <f t="shared" si="0"/>
        <v>7</v>
      </c>
      <c r="C28" s="1261" t="s">
        <v>3627</v>
      </c>
      <c r="D28" s="834">
        <v>40</v>
      </c>
      <c r="E28" s="576">
        <v>30</v>
      </c>
      <c r="F28" s="576">
        <v>40</v>
      </c>
      <c r="G28" s="842">
        <v>30</v>
      </c>
      <c r="H28" s="1266">
        <v>40</v>
      </c>
      <c r="I28" s="576">
        <v>40</v>
      </c>
      <c r="J28" s="576">
        <v>40</v>
      </c>
      <c r="K28" s="842">
        <v>40</v>
      </c>
      <c r="L28" s="28"/>
    </row>
    <row r="29" spans="1:12" x14ac:dyDescent="0.2">
      <c r="A29" s="17"/>
      <c r="B29" s="890">
        <f t="shared" si="0"/>
        <v>8</v>
      </c>
      <c r="C29" s="1261" t="s">
        <v>3628</v>
      </c>
      <c r="D29" s="834">
        <v>20</v>
      </c>
      <c r="E29" s="576">
        <v>10</v>
      </c>
      <c r="F29" s="576">
        <v>25</v>
      </c>
      <c r="G29" s="842">
        <v>15</v>
      </c>
      <c r="H29" s="1266">
        <v>10</v>
      </c>
      <c r="I29" s="576">
        <v>10</v>
      </c>
      <c r="J29" s="576">
        <v>10</v>
      </c>
      <c r="K29" s="842">
        <v>10</v>
      </c>
      <c r="L29" s="28"/>
    </row>
    <row r="30" spans="1:12" x14ac:dyDescent="0.2">
      <c r="A30" s="17"/>
      <c r="B30" s="890">
        <f t="shared" si="0"/>
        <v>9</v>
      </c>
      <c r="C30" s="1261" t="s">
        <v>3629</v>
      </c>
      <c r="D30" s="834">
        <v>10</v>
      </c>
      <c r="E30" s="576">
        <v>0</v>
      </c>
      <c r="F30" s="576">
        <v>20</v>
      </c>
      <c r="G30" s="842">
        <v>10</v>
      </c>
      <c r="H30" s="1266">
        <v>10</v>
      </c>
      <c r="I30" s="576">
        <v>10</v>
      </c>
      <c r="J30" s="576">
        <v>10</v>
      </c>
      <c r="K30" s="842">
        <v>10</v>
      </c>
      <c r="L30" s="28"/>
    </row>
    <row r="31" spans="1:12" x14ac:dyDescent="0.2">
      <c r="A31" s="17"/>
      <c r="B31" s="890">
        <f t="shared" si="0"/>
        <v>10</v>
      </c>
      <c r="C31" s="1261" t="s">
        <v>3630</v>
      </c>
      <c r="D31" s="834">
        <v>0</v>
      </c>
      <c r="E31" s="576">
        <v>0</v>
      </c>
      <c r="F31" s="576">
        <v>10</v>
      </c>
      <c r="G31" s="842">
        <v>0</v>
      </c>
      <c r="H31" s="1266">
        <v>0</v>
      </c>
      <c r="I31" s="576">
        <v>0</v>
      </c>
      <c r="J31" s="576">
        <v>0</v>
      </c>
      <c r="K31" s="842">
        <v>0</v>
      </c>
      <c r="L31" s="28"/>
    </row>
    <row r="32" spans="1:12" x14ac:dyDescent="0.2">
      <c r="A32" s="17"/>
      <c r="B32" s="1019"/>
      <c r="C32" s="1261"/>
      <c r="D32" s="834"/>
      <c r="G32" s="842"/>
      <c r="H32" s="834"/>
      <c r="K32" s="842"/>
      <c r="L32" s="28"/>
    </row>
    <row r="33" spans="1:12" x14ac:dyDescent="0.2">
      <c r="A33" s="17"/>
      <c r="B33" s="1019"/>
      <c r="C33" s="1261"/>
      <c r="D33" s="841"/>
      <c r="E33" s="146"/>
      <c r="F33" s="146"/>
      <c r="G33" s="871"/>
      <c r="H33" s="841"/>
      <c r="I33" s="146"/>
      <c r="J33" s="146"/>
      <c r="K33" s="871"/>
      <c r="L33" s="28"/>
    </row>
    <row r="34" spans="1:12" x14ac:dyDescent="0.2">
      <c r="A34" s="17"/>
      <c r="B34" s="1020"/>
      <c r="C34" s="1262"/>
      <c r="D34" s="852"/>
      <c r="E34" s="836"/>
      <c r="F34" s="836"/>
      <c r="G34" s="872"/>
      <c r="H34" s="852"/>
      <c r="I34" s="836"/>
      <c r="J34" s="836"/>
      <c r="K34" s="872"/>
      <c r="L34" s="28"/>
    </row>
    <row r="35" spans="1:12" x14ac:dyDescent="0.2">
      <c r="A35" s="17"/>
      <c r="B35" s="809"/>
      <c r="C35" s="1021" t="s">
        <v>4561</v>
      </c>
      <c r="D35" s="605">
        <f>AB_Eingabe!M61</f>
        <v>2</v>
      </c>
      <c r="E35" s="603" t="str">
        <f>VLOOKUP($D$35,$B$22:$C$31,$C$3,FALSE)</f>
        <v>Keine Zwischenfrucht vorhanden</v>
      </c>
      <c r="F35" s="603"/>
      <c r="G35" s="603"/>
      <c r="H35" s="1052" t="s">
        <v>4562</v>
      </c>
      <c r="I35" s="603"/>
      <c r="J35" s="603"/>
      <c r="K35" s="881"/>
      <c r="L35" s="28"/>
    </row>
    <row r="36" spans="1:12" x14ac:dyDescent="0.2">
      <c r="A36" s="17"/>
      <c r="B36" s="813"/>
      <c r="C36" s="593"/>
      <c r="E36" s="146"/>
      <c r="F36" s="146"/>
      <c r="G36" s="146"/>
      <c r="H36" s="146"/>
      <c r="I36" s="146"/>
      <c r="J36" s="146"/>
      <c r="K36" s="871"/>
      <c r="L36" s="28"/>
    </row>
    <row r="37" spans="1:12" x14ac:dyDescent="0.2">
      <c r="A37" s="17"/>
      <c r="B37" s="813"/>
      <c r="C37" s="593" t="s">
        <v>4509</v>
      </c>
      <c r="D37" s="726">
        <f>AB_Eingabe!M64</f>
        <v>1</v>
      </c>
      <c r="E37" s="146" t="str">
        <f>Due_org!U19</f>
        <v>Nein</v>
      </c>
      <c r="F37" s="146"/>
      <c r="G37" s="146" t="s">
        <v>4125</v>
      </c>
      <c r="H37" s="146"/>
      <c r="I37" s="146"/>
      <c r="J37" s="146"/>
      <c r="K37" s="871"/>
      <c r="L37" s="28"/>
    </row>
    <row r="38" spans="1:12" x14ac:dyDescent="0.2">
      <c r="A38" s="17"/>
      <c r="B38" s="813"/>
      <c r="C38" s="593" t="s">
        <v>4510</v>
      </c>
      <c r="D38" s="726">
        <f>AB_Eingabe!M49</f>
        <v>1</v>
      </c>
      <c r="E38" s="146" t="str">
        <f>Due_org!D113</f>
        <v>keine organ./organ.-mineral. Düngung</v>
      </c>
      <c r="F38" s="146"/>
      <c r="G38" s="146" t="s">
        <v>3760</v>
      </c>
      <c r="H38" s="146"/>
      <c r="I38" s="146"/>
      <c r="J38" s="146"/>
      <c r="K38" s="871"/>
      <c r="L38" s="28"/>
    </row>
    <row r="39" spans="1:12" x14ac:dyDescent="0.2">
      <c r="A39" s="17"/>
      <c r="B39" s="813"/>
      <c r="C39" s="593" t="s">
        <v>3759</v>
      </c>
      <c r="D39" s="590">
        <f>SUM(D37:D38)</f>
        <v>2</v>
      </c>
      <c r="E39" s="146" t="s">
        <v>4126</v>
      </c>
      <c r="F39" s="146"/>
      <c r="G39" s="146"/>
      <c r="H39" s="146"/>
      <c r="I39" s="146"/>
      <c r="J39" s="146"/>
      <c r="K39" s="871"/>
      <c r="L39" s="28"/>
    </row>
    <row r="40" spans="1:12" x14ac:dyDescent="0.2">
      <c r="A40" s="17"/>
      <c r="B40" s="813"/>
      <c r="C40" s="593"/>
      <c r="E40" s="146"/>
      <c r="F40" s="146"/>
      <c r="G40" s="146"/>
      <c r="H40" s="146"/>
      <c r="I40" s="146"/>
      <c r="J40" s="146"/>
      <c r="K40" s="871"/>
      <c r="L40" s="28"/>
    </row>
    <row r="41" spans="1:12" x14ac:dyDescent="0.2">
      <c r="A41" s="17"/>
      <c r="B41" s="813"/>
      <c r="C41" s="593"/>
      <c r="E41" s="146"/>
      <c r="F41" s="146"/>
      <c r="G41" s="597" t="s">
        <v>3764</v>
      </c>
      <c r="H41" s="146"/>
      <c r="I41" s="146"/>
      <c r="J41" s="146"/>
      <c r="K41" s="871"/>
      <c r="L41" s="28"/>
    </row>
    <row r="42" spans="1:12" x14ac:dyDescent="0.2">
      <c r="A42" s="17"/>
      <c r="B42" s="813"/>
      <c r="C42" s="593" t="s">
        <v>3750</v>
      </c>
      <c r="D42" s="576">
        <f>IF(D39&gt;2,4,2)</f>
        <v>2</v>
      </c>
      <c r="E42" s="146"/>
      <c r="F42" s="146"/>
      <c r="G42" s="597">
        <f>D42</f>
        <v>2</v>
      </c>
      <c r="H42" s="146"/>
      <c r="I42" s="146"/>
      <c r="J42" s="146"/>
      <c r="K42" s="871"/>
      <c r="L42" s="28"/>
    </row>
    <row r="43" spans="1:12" x14ac:dyDescent="0.2">
      <c r="A43" s="17"/>
      <c r="B43" s="813"/>
      <c r="C43" s="593" t="s">
        <v>3729</v>
      </c>
      <c r="D43" s="590">
        <f>IF(Kulturen!H231="Mais",AB_Eingabe!M68,1)</f>
        <v>1</v>
      </c>
      <c r="E43" s="146" t="s">
        <v>3730</v>
      </c>
      <c r="F43" s="146"/>
      <c r="G43" s="597">
        <f>IF(D46="Mais",D43*10,10)</f>
        <v>10</v>
      </c>
      <c r="H43" s="146"/>
      <c r="I43" s="146"/>
      <c r="J43" s="146"/>
      <c r="K43" s="871"/>
      <c r="L43" s="28"/>
    </row>
    <row r="44" spans="1:12" x14ac:dyDescent="0.2">
      <c r="A44" s="17"/>
      <c r="B44" s="813"/>
      <c r="E44" s="146"/>
      <c r="F44" s="146"/>
      <c r="G44" s="146"/>
      <c r="H44" s="146"/>
      <c r="I44" s="146"/>
      <c r="J44" s="146"/>
      <c r="K44" s="871"/>
      <c r="L44" s="28"/>
    </row>
    <row r="45" spans="1:12" x14ac:dyDescent="0.2">
      <c r="A45" s="17"/>
      <c r="B45" s="813"/>
      <c r="C45" s="593" t="s">
        <v>3718</v>
      </c>
      <c r="D45" s="868" t="str">
        <f>VLOOKUP(AB_Eingabe!$M$21,Kulturen!$E$12:$F$93,Kulturen!$F$8,FALSE)</f>
        <v>auswählen !</v>
      </c>
      <c r="E45" s="146"/>
      <c r="F45" s="146"/>
      <c r="G45" s="146"/>
      <c r="H45" s="146"/>
      <c r="I45" s="146"/>
      <c r="J45" s="146"/>
      <c r="K45" s="871"/>
      <c r="L45" s="28"/>
    </row>
    <row r="46" spans="1:12" x14ac:dyDescent="0.2">
      <c r="A46" s="17"/>
      <c r="B46" s="813"/>
      <c r="C46" s="593" t="s">
        <v>3722</v>
      </c>
      <c r="D46" s="590">
        <f>VLOOKUP(AB_Eingabe!$M$21,Kulturen!$E$12:$AJ$93,Kulturen!$AJ$8,FALSE)</f>
        <v>0</v>
      </c>
      <c r="E46" s="146"/>
      <c r="F46" s="146"/>
      <c r="G46" s="146"/>
      <c r="H46" s="146"/>
      <c r="I46" s="146"/>
      <c r="J46" s="146"/>
      <c r="K46" s="871"/>
      <c r="L46" s="28"/>
    </row>
    <row r="47" spans="1:12" x14ac:dyDescent="0.2">
      <c r="A47" s="17"/>
      <c r="B47" s="813"/>
      <c r="F47" s="576" t="s">
        <v>3731</v>
      </c>
      <c r="G47" s="146">
        <f>G42+G43</f>
        <v>12</v>
      </c>
      <c r="H47" s="146"/>
      <c r="I47" s="146"/>
      <c r="J47" s="146"/>
      <c r="K47" s="871"/>
      <c r="L47" s="28"/>
    </row>
    <row r="48" spans="1:12" x14ac:dyDescent="0.2">
      <c r="A48" s="17"/>
      <c r="B48" s="813"/>
      <c r="G48" s="146"/>
      <c r="H48" s="146"/>
      <c r="I48" s="146"/>
      <c r="J48" s="146"/>
      <c r="K48" s="871"/>
      <c r="L48" s="28"/>
    </row>
    <row r="49" spans="1:12" x14ac:dyDescent="0.2">
      <c r="A49" s="17"/>
      <c r="B49" s="813"/>
      <c r="F49" s="597" t="s">
        <v>3732</v>
      </c>
      <c r="G49" s="595">
        <f>INDEX($D$22:$G$32,MATCH($D$35,$B$22:$B$32,FALSE),MATCH($G$47,$D$19:$G$19,FALSE))</f>
        <v>0</v>
      </c>
      <c r="H49" s="576" t="s">
        <v>3703</v>
      </c>
      <c r="I49" s="146"/>
      <c r="J49" s="146"/>
      <c r="K49" s="871"/>
      <c r="L49" s="28"/>
    </row>
    <row r="50" spans="1:12" x14ac:dyDescent="0.2">
      <c r="A50" s="17"/>
      <c r="B50" s="826"/>
      <c r="C50" s="836"/>
      <c r="D50" s="827"/>
      <c r="E50" s="827"/>
      <c r="F50" s="1164" t="s">
        <v>3733</v>
      </c>
      <c r="G50" s="1004">
        <f>INDEX($H$22:$K$32,MATCH($D$35,$B$22:$B$32,FALSE),MATCH($G$47,$H$19:$K$19,FALSE))</f>
        <v>0</v>
      </c>
      <c r="H50" s="576" t="s">
        <v>3703</v>
      </c>
      <c r="I50" s="836"/>
      <c r="J50" s="836"/>
      <c r="K50" s="872"/>
      <c r="L50" s="28"/>
    </row>
    <row r="51" spans="1:12" x14ac:dyDescent="0.2">
      <c r="B51" s="838"/>
      <c r="C51" s="603"/>
      <c r="D51" s="604"/>
      <c r="E51" s="604"/>
      <c r="F51" s="615"/>
      <c r="G51" s="615"/>
      <c r="H51" s="603"/>
      <c r="I51" s="603"/>
      <c r="J51" s="603"/>
      <c r="K51" s="603"/>
    </row>
    <row r="52" spans="1:12" x14ac:dyDescent="0.2">
      <c r="D52" s="146"/>
      <c r="E52" s="146"/>
      <c r="F52" s="595"/>
      <c r="G52" s="595"/>
      <c r="H52" s="146"/>
      <c r="I52" s="146"/>
      <c r="J52" s="146"/>
      <c r="K52" s="146"/>
    </row>
    <row r="53" spans="1:12" x14ac:dyDescent="0.2">
      <c r="D53" s="146"/>
      <c r="E53" s="146"/>
      <c r="F53" s="595"/>
      <c r="G53" s="595"/>
      <c r="H53" s="146"/>
      <c r="I53" s="146"/>
      <c r="J53" s="146"/>
      <c r="K53" s="146"/>
    </row>
    <row r="54" spans="1:12" x14ac:dyDescent="0.2">
      <c r="C54" s="1053" t="s">
        <v>4560</v>
      </c>
      <c r="D54" s="1054">
        <f>OR_Eingabe!M56</f>
        <v>1</v>
      </c>
      <c r="E54" s="1052" t="str">
        <f>VLOOKUP($D$54,$B$22:$C$31,$C$3,FALSE)</f>
        <v>auswählen !</v>
      </c>
      <c r="F54" s="1267"/>
      <c r="G54" s="595"/>
      <c r="H54" s="146"/>
      <c r="I54" s="146"/>
      <c r="J54" s="146"/>
      <c r="K54" s="146"/>
    </row>
    <row r="55" spans="1:12" x14ac:dyDescent="0.2">
      <c r="F55" s="597"/>
      <c r="G55" s="597"/>
    </row>
    <row r="56" spans="1:12" x14ac:dyDescent="0.2">
      <c r="F56" s="1268" t="s">
        <v>3733</v>
      </c>
      <c r="G56" s="1269">
        <f>INDEX($H$22:$K$32,MATCH($D$54,$B$22:$B$32,FALSE),MATCH($H$19,$H$19:$K$19,FALSE))</f>
        <v>0</v>
      </c>
      <c r="H56" s="598" t="s">
        <v>3703</v>
      </c>
    </row>
    <row r="57" spans="1:12" x14ac:dyDescent="0.2">
      <c r="F57" s="597"/>
      <c r="G57" s="597"/>
    </row>
  </sheetData>
  <sheetProtection password="8677" sheet="1" objects="1" scenarios="1"/>
  <printOptions horizontalCentered="1" verticalCentered="1"/>
  <pageMargins left="0.78740157480314965" right="0.59055118110236227" top="0.39370078740157483" bottom="0.39370078740157483" header="0" footer="0.11811023622047245"/>
  <pageSetup paperSize="9" scale="93" fitToHeight="2" orientation="landscape" horizontalDpi="1200" verticalDpi="1200" r:id="rId1"/>
  <headerFooter alignWithMargins="0">
    <oddFooter>&amp;L&amp;8LEL / LTZ / LAZBW / LWA-DS&amp;C&amp;8&amp;F  &amp;A&amp;R&amp;8&amp;D</oddFooter>
  </headerFooter>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5">
    <tabColor theme="6" tint="0.39997558519241921"/>
  </sheetPr>
  <dimension ref="A1:AL244"/>
  <sheetViews>
    <sheetView topLeftCell="B1" zoomScaleNormal="100" workbookViewId="0">
      <pane ySplit="11" topLeftCell="A320" activePane="bottomLeft" state="frozen"/>
      <selection activeCell="A173" sqref="A173"/>
      <selection pane="bottomLeft" activeCell="H25" sqref="A25:H25"/>
    </sheetView>
  </sheetViews>
  <sheetFormatPr baseColWidth="10" defaultRowHeight="14.25" x14ac:dyDescent="0.2"/>
  <cols>
    <col min="1" max="1" width="0.5" style="146" hidden="1" customWidth="1"/>
    <col min="2" max="2" width="2.375" style="657" bestFit="1" customWidth="1"/>
    <col min="3" max="3" width="2.625" style="657" bestFit="1" customWidth="1"/>
    <col min="4" max="4" width="35.875" style="146" customWidth="1"/>
    <col min="5" max="5" width="9.375" style="576" bestFit="1" customWidth="1"/>
    <col min="6" max="6" width="10" style="576" customWidth="1"/>
    <col min="7" max="7" width="16.5" style="576" bestFit="1" customWidth="1"/>
    <col min="8" max="8" width="14.75" style="576" customWidth="1"/>
    <col min="9" max="9" width="7.5" style="858" customWidth="1"/>
    <col min="10" max="10" width="8.625" style="576" customWidth="1"/>
    <col min="11" max="13" width="13.125" style="576" customWidth="1"/>
    <col min="14" max="14" width="5.125" style="576" customWidth="1"/>
    <col min="15" max="15" width="8.875" style="576" customWidth="1"/>
    <col min="16" max="16" width="19.375" style="576" customWidth="1"/>
    <col min="17" max="17" width="13.5" style="576" customWidth="1"/>
    <col min="18" max="18" width="17.5" style="146" customWidth="1"/>
    <col min="19" max="19" width="10.375" style="146" hidden="1" customWidth="1"/>
    <col min="20" max="20" width="7.75" style="576" hidden="1" customWidth="1"/>
    <col min="21" max="21" width="25" style="576" hidden="1" customWidth="1"/>
    <col min="22" max="22" width="16.25" style="146" hidden="1" customWidth="1"/>
    <col min="23" max="24" width="25" style="146" customWidth="1"/>
    <col min="25" max="261" width="11.5" style="146"/>
    <col min="262" max="262" width="1.625" style="146" customWidth="1"/>
    <col min="263" max="263" width="3.5" style="146" customWidth="1"/>
    <col min="264" max="264" width="35.875" style="146" customWidth="1"/>
    <col min="265" max="272" width="6.875" style="146" customWidth="1"/>
    <col min="273" max="273" width="13.5" style="146" customWidth="1"/>
    <col min="274" max="274" width="3.875" style="146" customWidth="1"/>
    <col min="275" max="275" width="10.375" style="146" customWidth="1"/>
    <col min="276" max="276" width="7.75" style="146" customWidth="1"/>
    <col min="277" max="280" width="25" style="146" customWidth="1"/>
    <col min="281" max="517" width="11.5" style="146"/>
    <col min="518" max="518" width="1.625" style="146" customWidth="1"/>
    <col min="519" max="519" width="3.5" style="146" customWidth="1"/>
    <col min="520" max="520" width="35.875" style="146" customWidth="1"/>
    <col min="521" max="528" width="6.875" style="146" customWidth="1"/>
    <col min="529" max="529" width="13.5" style="146" customWidth="1"/>
    <col min="530" max="530" width="3.875" style="146" customWidth="1"/>
    <col min="531" max="531" width="10.375" style="146" customWidth="1"/>
    <col min="532" max="532" width="7.75" style="146" customWidth="1"/>
    <col min="533" max="536" width="25" style="146" customWidth="1"/>
    <col min="537" max="773" width="11.5" style="146"/>
    <col min="774" max="774" width="1.625" style="146" customWidth="1"/>
    <col min="775" max="775" width="3.5" style="146" customWidth="1"/>
    <col min="776" max="776" width="35.875" style="146" customWidth="1"/>
    <col min="777" max="784" width="6.875" style="146" customWidth="1"/>
    <col min="785" max="785" width="13.5" style="146" customWidth="1"/>
    <col min="786" max="786" width="3.875" style="146" customWidth="1"/>
    <col min="787" max="787" width="10.375" style="146" customWidth="1"/>
    <col min="788" max="788" width="7.75" style="146" customWidth="1"/>
    <col min="789" max="792" width="25" style="146" customWidth="1"/>
    <col min="793" max="1029" width="11.5" style="146"/>
    <col min="1030" max="1030" width="1.625" style="146" customWidth="1"/>
    <col min="1031" max="1031" width="3.5" style="146" customWidth="1"/>
    <col min="1032" max="1032" width="35.875" style="146" customWidth="1"/>
    <col min="1033" max="1040" width="6.875" style="146" customWidth="1"/>
    <col min="1041" max="1041" width="13.5" style="146" customWidth="1"/>
    <col min="1042" max="1042" width="3.875" style="146" customWidth="1"/>
    <col min="1043" max="1043" width="10.375" style="146" customWidth="1"/>
    <col min="1044" max="1044" width="7.75" style="146" customWidth="1"/>
    <col min="1045" max="1048" width="25" style="146" customWidth="1"/>
    <col min="1049" max="1285" width="11.5" style="146"/>
    <col min="1286" max="1286" width="1.625" style="146" customWidth="1"/>
    <col min="1287" max="1287" width="3.5" style="146" customWidth="1"/>
    <col min="1288" max="1288" width="35.875" style="146" customWidth="1"/>
    <col min="1289" max="1296" width="6.875" style="146" customWidth="1"/>
    <col min="1297" max="1297" width="13.5" style="146" customWidth="1"/>
    <col min="1298" max="1298" width="3.875" style="146" customWidth="1"/>
    <col min="1299" max="1299" width="10.375" style="146" customWidth="1"/>
    <col min="1300" max="1300" width="7.75" style="146" customWidth="1"/>
    <col min="1301" max="1304" width="25" style="146" customWidth="1"/>
    <col min="1305" max="1541" width="11.5" style="146"/>
    <col min="1542" max="1542" width="1.625" style="146" customWidth="1"/>
    <col min="1543" max="1543" width="3.5" style="146" customWidth="1"/>
    <col min="1544" max="1544" width="35.875" style="146" customWidth="1"/>
    <col min="1545" max="1552" width="6.875" style="146" customWidth="1"/>
    <col min="1553" max="1553" width="13.5" style="146" customWidth="1"/>
    <col min="1554" max="1554" width="3.875" style="146" customWidth="1"/>
    <col min="1555" max="1555" width="10.375" style="146" customWidth="1"/>
    <col min="1556" max="1556" width="7.75" style="146" customWidth="1"/>
    <col min="1557" max="1560" width="25" style="146" customWidth="1"/>
    <col min="1561" max="1797" width="11.5" style="146"/>
    <col min="1798" max="1798" width="1.625" style="146" customWidth="1"/>
    <col min="1799" max="1799" width="3.5" style="146" customWidth="1"/>
    <col min="1800" max="1800" width="35.875" style="146" customWidth="1"/>
    <col min="1801" max="1808" width="6.875" style="146" customWidth="1"/>
    <col min="1809" max="1809" width="13.5" style="146" customWidth="1"/>
    <col min="1810" max="1810" width="3.875" style="146" customWidth="1"/>
    <col min="1811" max="1811" width="10.375" style="146" customWidth="1"/>
    <col min="1812" max="1812" width="7.75" style="146" customWidth="1"/>
    <col min="1813" max="1816" width="25" style="146" customWidth="1"/>
    <col min="1817" max="2053" width="11.5" style="146"/>
    <col min="2054" max="2054" width="1.625" style="146" customWidth="1"/>
    <col min="2055" max="2055" width="3.5" style="146" customWidth="1"/>
    <col min="2056" max="2056" width="35.875" style="146" customWidth="1"/>
    <col min="2057" max="2064" width="6.875" style="146" customWidth="1"/>
    <col min="2065" max="2065" width="13.5" style="146" customWidth="1"/>
    <col min="2066" max="2066" width="3.875" style="146" customWidth="1"/>
    <col min="2067" max="2067" width="10.375" style="146" customWidth="1"/>
    <col min="2068" max="2068" width="7.75" style="146" customWidth="1"/>
    <col min="2069" max="2072" width="25" style="146" customWidth="1"/>
    <col min="2073" max="2309" width="11.5" style="146"/>
    <col min="2310" max="2310" width="1.625" style="146" customWidth="1"/>
    <col min="2311" max="2311" width="3.5" style="146" customWidth="1"/>
    <col min="2312" max="2312" width="35.875" style="146" customWidth="1"/>
    <col min="2313" max="2320" width="6.875" style="146" customWidth="1"/>
    <col min="2321" max="2321" width="13.5" style="146" customWidth="1"/>
    <col min="2322" max="2322" width="3.875" style="146" customWidth="1"/>
    <col min="2323" max="2323" width="10.375" style="146" customWidth="1"/>
    <col min="2324" max="2324" width="7.75" style="146" customWidth="1"/>
    <col min="2325" max="2328" width="25" style="146" customWidth="1"/>
    <col min="2329" max="2565" width="11.5" style="146"/>
    <col min="2566" max="2566" width="1.625" style="146" customWidth="1"/>
    <col min="2567" max="2567" width="3.5" style="146" customWidth="1"/>
    <col min="2568" max="2568" width="35.875" style="146" customWidth="1"/>
    <col min="2569" max="2576" width="6.875" style="146" customWidth="1"/>
    <col min="2577" max="2577" width="13.5" style="146" customWidth="1"/>
    <col min="2578" max="2578" width="3.875" style="146" customWidth="1"/>
    <col min="2579" max="2579" width="10.375" style="146" customWidth="1"/>
    <col min="2580" max="2580" width="7.75" style="146" customWidth="1"/>
    <col min="2581" max="2584" width="25" style="146" customWidth="1"/>
    <col min="2585" max="2821" width="11.5" style="146"/>
    <col min="2822" max="2822" width="1.625" style="146" customWidth="1"/>
    <col min="2823" max="2823" width="3.5" style="146" customWidth="1"/>
    <col min="2824" max="2824" width="35.875" style="146" customWidth="1"/>
    <col min="2825" max="2832" width="6.875" style="146" customWidth="1"/>
    <col min="2833" max="2833" width="13.5" style="146" customWidth="1"/>
    <col min="2834" max="2834" width="3.875" style="146" customWidth="1"/>
    <col min="2835" max="2835" width="10.375" style="146" customWidth="1"/>
    <col min="2836" max="2836" width="7.75" style="146" customWidth="1"/>
    <col min="2837" max="2840" width="25" style="146" customWidth="1"/>
    <col min="2841" max="3077" width="11.5" style="146"/>
    <col min="3078" max="3078" width="1.625" style="146" customWidth="1"/>
    <col min="3079" max="3079" width="3.5" style="146" customWidth="1"/>
    <col min="3080" max="3080" width="35.875" style="146" customWidth="1"/>
    <col min="3081" max="3088" width="6.875" style="146" customWidth="1"/>
    <col min="3089" max="3089" width="13.5" style="146" customWidth="1"/>
    <col min="3090" max="3090" width="3.875" style="146" customWidth="1"/>
    <col min="3091" max="3091" width="10.375" style="146" customWidth="1"/>
    <col min="3092" max="3092" width="7.75" style="146" customWidth="1"/>
    <col min="3093" max="3096" width="25" style="146" customWidth="1"/>
    <col min="3097" max="3333" width="11.5" style="146"/>
    <col min="3334" max="3334" width="1.625" style="146" customWidth="1"/>
    <col min="3335" max="3335" width="3.5" style="146" customWidth="1"/>
    <col min="3336" max="3336" width="35.875" style="146" customWidth="1"/>
    <col min="3337" max="3344" width="6.875" style="146" customWidth="1"/>
    <col min="3345" max="3345" width="13.5" style="146" customWidth="1"/>
    <col min="3346" max="3346" width="3.875" style="146" customWidth="1"/>
    <col min="3347" max="3347" width="10.375" style="146" customWidth="1"/>
    <col min="3348" max="3348" width="7.75" style="146" customWidth="1"/>
    <col min="3349" max="3352" width="25" style="146" customWidth="1"/>
    <col min="3353" max="3589" width="11.5" style="146"/>
    <col min="3590" max="3590" width="1.625" style="146" customWidth="1"/>
    <col min="3591" max="3591" width="3.5" style="146" customWidth="1"/>
    <col min="3592" max="3592" width="35.875" style="146" customWidth="1"/>
    <col min="3593" max="3600" width="6.875" style="146" customWidth="1"/>
    <col min="3601" max="3601" width="13.5" style="146" customWidth="1"/>
    <col min="3602" max="3602" width="3.875" style="146" customWidth="1"/>
    <col min="3603" max="3603" width="10.375" style="146" customWidth="1"/>
    <col min="3604" max="3604" width="7.75" style="146" customWidth="1"/>
    <col min="3605" max="3608" width="25" style="146" customWidth="1"/>
    <col min="3609" max="3845" width="11.5" style="146"/>
    <col min="3846" max="3846" width="1.625" style="146" customWidth="1"/>
    <col min="3847" max="3847" width="3.5" style="146" customWidth="1"/>
    <col min="3848" max="3848" width="35.875" style="146" customWidth="1"/>
    <col min="3849" max="3856" width="6.875" style="146" customWidth="1"/>
    <col min="3857" max="3857" width="13.5" style="146" customWidth="1"/>
    <col min="3858" max="3858" width="3.875" style="146" customWidth="1"/>
    <col min="3859" max="3859" width="10.375" style="146" customWidth="1"/>
    <col min="3860" max="3860" width="7.75" style="146" customWidth="1"/>
    <col min="3861" max="3864" width="25" style="146" customWidth="1"/>
    <col min="3865" max="4101" width="11.5" style="146"/>
    <col min="4102" max="4102" width="1.625" style="146" customWidth="1"/>
    <col min="4103" max="4103" width="3.5" style="146" customWidth="1"/>
    <col min="4104" max="4104" width="35.875" style="146" customWidth="1"/>
    <col min="4105" max="4112" width="6.875" style="146" customWidth="1"/>
    <col min="4113" max="4113" width="13.5" style="146" customWidth="1"/>
    <col min="4114" max="4114" width="3.875" style="146" customWidth="1"/>
    <col min="4115" max="4115" width="10.375" style="146" customWidth="1"/>
    <col min="4116" max="4116" width="7.75" style="146" customWidth="1"/>
    <col min="4117" max="4120" width="25" style="146" customWidth="1"/>
    <col min="4121" max="4357" width="11.5" style="146"/>
    <col min="4358" max="4358" width="1.625" style="146" customWidth="1"/>
    <col min="4359" max="4359" width="3.5" style="146" customWidth="1"/>
    <col min="4360" max="4360" width="35.875" style="146" customWidth="1"/>
    <col min="4361" max="4368" width="6.875" style="146" customWidth="1"/>
    <col min="4369" max="4369" width="13.5" style="146" customWidth="1"/>
    <col min="4370" max="4370" width="3.875" style="146" customWidth="1"/>
    <col min="4371" max="4371" width="10.375" style="146" customWidth="1"/>
    <col min="4372" max="4372" width="7.75" style="146" customWidth="1"/>
    <col min="4373" max="4376" width="25" style="146" customWidth="1"/>
    <col min="4377" max="4613" width="11.5" style="146"/>
    <col min="4614" max="4614" width="1.625" style="146" customWidth="1"/>
    <col min="4615" max="4615" width="3.5" style="146" customWidth="1"/>
    <col min="4616" max="4616" width="35.875" style="146" customWidth="1"/>
    <col min="4617" max="4624" width="6.875" style="146" customWidth="1"/>
    <col min="4625" max="4625" width="13.5" style="146" customWidth="1"/>
    <col min="4626" max="4626" width="3.875" style="146" customWidth="1"/>
    <col min="4627" max="4627" width="10.375" style="146" customWidth="1"/>
    <col min="4628" max="4628" width="7.75" style="146" customWidth="1"/>
    <col min="4629" max="4632" width="25" style="146" customWidth="1"/>
    <col min="4633" max="4869" width="11.5" style="146"/>
    <col min="4870" max="4870" width="1.625" style="146" customWidth="1"/>
    <col min="4871" max="4871" width="3.5" style="146" customWidth="1"/>
    <col min="4872" max="4872" width="35.875" style="146" customWidth="1"/>
    <col min="4873" max="4880" width="6.875" style="146" customWidth="1"/>
    <col min="4881" max="4881" width="13.5" style="146" customWidth="1"/>
    <col min="4882" max="4882" width="3.875" style="146" customWidth="1"/>
    <col min="4883" max="4883" width="10.375" style="146" customWidth="1"/>
    <col min="4884" max="4884" width="7.75" style="146" customWidth="1"/>
    <col min="4885" max="4888" width="25" style="146" customWidth="1"/>
    <col min="4889" max="5125" width="11.5" style="146"/>
    <col min="5126" max="5126" width="1.625" style="146" customWidth="1"/>
    <col min="5127" max="5127" width="3.5" style="146" customWidth="1"/>
    <col min="5128" max="5128" width="35.875" style="146" customWidth="1"/>
    <col min="5129" max="5136" width="6.875" style="146" customWidth="1"/>
    <col min="5137" max="5137" width="13.5" style="146" customWidth="1"/>
    <col min="5138" max="5138" width="3.875" style="146" customWidth="1"/>
    <col min="5139" max="5139" width="10.375" style="146" customWidth="1"/>
    <col min="5140" max="5140" width="7.75" style="146" customWidth="1"/>
    <col min="5141" max="5144" width="25" style="146" customWidth="1"/>
    <col min="5145" max="5381" width="11.5" style="146"/>
    <col min="5382" max="5382" width="1.625" style="146" customWidth="1"/>
    <col min="5383" max="5383" width="3.5" style="146" customWidth="1"/>
    <col min="5384" max="5384" width="35.875" style="146" customWidth="1"/>
    <col min="5385" max="5392" width="6.875" style="146" customWidth="1"/>
    <col min="5393" max="5393" width="13.5" style="146" customWidth="1"/>
    <col min="5394" max="5394" width="3.875" style="146" customWidth="1"/>
    <col min="5395" max="5395" width="10.375" style="146" customWidth="1"/>
    <col min="5396" max="5396" width="7.75" style="146" customWidth="1"/>
    <col min="5397" max="5400" width="25" style="146" customWidth="1"/>
    <col min="5401" max="5637" width="11.5" style="146"/>
    <col min="5638" max="5638" width="1.625" style="146" customWidth="1"/>
    <col min="5639" max="5639" width="3.5" style="146" customWidth="1"/>
    <col min="5640" max="5640" width="35.875" style="146" customWidth="1"/>
    <col min="5641" max="5648" width="6.875" style="146" customWidth="1"/>
    <col min="5649" max="5649" width="13.5" style="146" customWidth="1"/>
    <col min="5650" max="5650" width="3.875" style="146" customWidth="1"/>
    <col min="5651" max="5651" width="10.375" style="146" customWidth="1"/>
    <col min="5652" max="5652" width="7.75" style="146" customWidth="1"/>
    <col min="5653" max="5656" width="25" style="146" customWidth="1"/>
    <col min="5657" max="5893" width="11.5" style="146"/>
    <col min="5894" max="5894" width="1.625" style="146" customWidth="1"/>
    <col min="5895" max="5895" width="3.5" style="146" customWidth="1"/>
    <col min="5896" max="5896" width="35.875" style="146" customWidth="1"/>
    <col min="5897" max="5904" width="6.875" style="146" customWidth="1"/>
    <col min="5905" max="5905" width="13.5" style="146" customWidth="1"/>
    <col min="5906" max="5906" width="3.875" style="146" customWidth="1"/>
    <col min="5907" max="5907" width="10.375" style="146" customWidth="1"/>
    <col min="5908" max="5908" width="7.75" style="146" customWidth="1"/>
    <col min="5909" max="5912" width="25" style="146" customWidth="1"/>
    <col min="5913" max="6149" width="11.5" style="146"/>
    <col min="6150" max="6150" width="1.625" style="146" customWidth="1"/>
    <col min="6151" max="6151" width="3.5" style="146" customWidth="1"/>
    <col min="6152" max="6152" width="35.875" style="146" customWidth="1"/>
    <col min="6153" max="6160" width="6.875" style="146" customWidth="1"/>
    <col min="6161" max="6161" width="13.5" style="146" customWidth="1"/>
    <col min="6162" max="6162" width="3.875" style="146" customWidth="1"/>
    <col min="6163" max="6163" width="10.375" style="146" customWidth="1"/>
    <col min="6164" max="6164" width="7.75" style="146" customWidth="1"/>
    <col min="6165" max="6168" width="25" style="146" customWidth="1"/>
    <col min="6169" max="6405" width="11.5" style="146"/>
    <col min="6406" max="6406" width="1.625" style="146" customWidth="1"/>
    <col min="6407" max="6407" width="3.5" style="146" customWidth="1"/>
    <col min="6408" max="6408" width="35.875" style="146" customWidth="1"/>
    <col min="6409" max="6416" width="6.875" style="146" customWidth="1"/>
    <col min="6417" max="6417" width="13.5" style="146" customWidth="1"/>
    <col min="6418" max="6418" width="3.875" style="146" customWidth="1"/>
    <col min="6419" max="6419" width="10.375" style="146" customWidth="1"/>
    <col min="6420" max="6420" width="7.75" style="146" customWidth="1"/>
    <col min="6421" max="6424" width="25" style="146" customWidth="1"/>
    <col min="6425" max="6661" width="11.5" style="146"/>
    <col min="6662" max="6662" width="1.625" style="146" customWidth="1"/>
    <col min="6663" max="6663" width="3.5" style="146" customWidth="1"/>
    <col min="6664" max="6664" width="35.875" style="146" customWidth="1"/>
    <col min="6665" max="6672" width="6.875" style="146" customWidth="1"/>
    <col min="6673" max="6673" width="13.5" style="146" customWidth="1"/>
    <col min="6674" max="6674" width="3.875" style="146" customWidth="1"/>
    <col min="6675" max="6675" width="10.375" style="146" customWidth="1"/>
    <col min="6676" max="6676" width="7.75" style="146" customWidth="1"/>
    <col min="6677" max="6680" width="25" style="146" customWidth="1"/>
    <col min="6681" max="6917" width="11.5" style="146"/>
    <col min="6918" max="6918" width="1.625" style="146" customWidth="1"/>
    <col min="6919" max="6919" width="3.5" style="146" customWidth="1"/>
    <col min="6920" max="6920" width="35.875" style="146" customWidth="1"/>
    <col min="6921" max="6928" width="6.875" style="146" customWidth="1"/>
    <col min="6929" max="6929" width="13.5" style="146" customWidth="1"/>
    <col min="6930" max="6930" width="3.875" style="146" customWidth="1"/>
    <col min="6931" max="6931" width="10.375" style="146" customWidth="1"/>
    <col min="6932" max="6932" width="7.75" style="146" customWidth="1"/>
    <col min="6933" max="6936" width="25" style="146" customWidth="1"/>
    <col min="6937" max="7173" width="11.5" style="146"/>
    <col min="7174" max="7174" width="1.625" style="146" customWidth="1"/>
    <col min="7175" max="7175" width="3.5" style="146" customWidth="1"/>
    <col min="7176" max="7176" width="35.875" style="146" customWidth="1"/>
    <col min="7177" max="7184" width="6.875" style="146" customWidth="1"/>
    <col min="7185" max="7185" width="13.5" style="146" customWidth="1"/>
    <col min="7186" max="7186" width="3.875" style="146" customWidth="1"/>
    <col min="7187" max="7187" width="10.375" style="146" customWidth="1"/>
    <col min="7188" max="7188" width="7.75" style="146" customWidth="1"/>
    <col min="7189" max="7192" width="25" style="146" customWidth="1"/>
    <col min="7193" max="7429" width="11.5" style="146"/>
    <col min="7430" max="7430" width="1.625" style="146" customWidth="1"/>
    <col min="7431" max="7431" width="3.5" style="146" customWidth="1"/>
    <col min="7432" max="7432" width="35.875" style="146" customWidth="1"/>
    <col min="7433" max="7440" width="6.875" style="146" customWidth="1"/>
    <col min="7441" max="7441" width="13.5" style="146" customWidth="1"/>
    <col min="7442" max="7442" width="3.875" style="146" customWidth="1"/>
    <col min="7443" max="7443" width="10.375" style="146" customWidth="1"/>
    <col min="7444" max="7444" width="7.75" style="146" customWidth="1"/>
    <col min="7445" max="7448" width="25" style="146" customWidth="1"/>
    <col min="7449" max="7685" width="11.5" style="146"/>
    <col min="7686" max="7686" width="1.625" style="146" customWidth="1"/>
    <col min="7687" max="7687" width="3.5" style="146" customWidth="1"/>
    <col min="7688" max="7688" width="35.875" style="146" customWidth="1"/>
    <col min="7689" max="7696" width="6.875" style="146" customWidth="1"/>
    <col min="7697" max="7697" width="13.5" style="146" customWidth="1"/>
    <col min="7698" max="7698" width="3.875" style="146" customWidth="1"/>
    <col min="7699" max="7699" width="10.375" style="146" customWidth="1"/>
    <col min="7700" max="7700" width="7.75" style="146" customWidth="1"/>
    <col min="7701" max="7704" width="25" style="146" customWidth="1"/>
    <col min="7705" max="7941" width="11.5" style="146"/>
    <col min="7942" max="7942" width="1.625" style="146" customWidth="1"/>
    <col min="7943" max="7943" width="3.5" style="146" customWidth="1"/>
    <col min="7944" max="7944" width="35.875" style="146" customWidth="1"/>
    <col min="7945" max="7952" width="6.875" style="146" customWidth="1"/>
    <col min="7953" max="7953" width="13.5" style="146" customWidth="1"/>
    <col min="7954" max="7954" width="3.875" style="146" customWidth="1"/>
    <col min="7955" max="7955" width="10.375" style="146" customWidth="1"/>
    <col min="7956" max="7956" width="7.75" style="146" customWidth="1"/>
    <col min="7957" max="7960" width="25" style="146" customWidth="1"/>
    <col min="7961" max="8197" width="11.5" style="146"/>
    <col min="8198" max="8198" width="1.625" style="146" customWidth="1"/>
    <col min="8199" max="8199" width="3.5" style="146" customWidth="1"/>
    <col min="8200" max="8200" width="35.875" style="146" customWidth="1"/>
    <col min="8201" max="8208" width="6.875" style="146" customWidth="1"/>
    <col min="8209" max="8209" width="13.5" style="146" customWidth="1"/>
    <col min="8210" max="8210" width="3.875" style="146" customWidth="1"/>
    <col min="8211" max="8211" width="10.375" style="146" customWidth="1"/>
    <col min="8212" max="8212" width="7.75" style="146" customWidth="1"/>
    <col min="8213" max="8216" width="25" style="146" customWidth="1"/>
    <col min="8217" max="8453" width="11.5" style="146"/>
    <col min="8454" max="8454" width="1.625" style="146" customWidth="1"/>
    <col min="8455" max="8455" width="3.5" style="146" customWidth="1"/>
    <col min="8456" max="8456" width="35.875" style="146" customWidth="1"/>
    <col min="8457" max="8464" width="6.875" style="146" customWidth="1"/>
    <col min="8465" max="8465" width="13.5" style="146" customWidth="1"/>
    <col min="8466" max="8466" width="3.875" style="146" customWidth="1"/>
    <col min="8467" max="8467" width="10.375" style="146" customWidth="1"/>
    <col min="8468" max="8468" width="7.75" style="146" customWidth="1"/>
    <col min="8469" max="8472" width="25" style="146" customWidth="1"/>
    <col min="8473" max="8709" width="11.5" style="146"/>
    <col min="8710" max="8710" width="1.625" style="146" customWidth="1"/>
    <col min="8711" max="8711" width="3.5" style="146" customWidth="1"/>
    <col min="8712" max="8712" width="35.875" style="146" customWidth="1"/>
    <col min="8713" max="8720" width="6.875" style="146" customWidth="1"/>
    <col min="8721" max="8721" width="13.5" style="146" customWidth="1"/>
    <col min="8722" max="8722" width="3.875" style="146" customWidth="1"/>
    <col min="8723" max="8723" width="10.375" style="146" customWidth="1"/>
    <col min="8724" max="8724" width="7.75" style="146" customWidth="1"/>
    <col min="8725" max="8728" width="25" style="146" customWidth="1"/>
    <col min="8729" max="8965" width="11.5" style="146"/>
    <col min="8966" max="8966" width="1.625" style="146" customWidth="1"/>
    <col min="8967" max="8967" width="3.5" style="146" customWidth="1"/>
    <col min="8968" max="8968" width="35.875" style="146" customWidth="1"/>
    <col min="8969" max="8976" width="6.875" style="146" customWidth="1"/>
    <col min="8977" max="8977" width="13.5" style="146" customWidth="1"/>
    <col min="8978" max="8978" width="3.875" style="146" customWidth="1"/>
    <col min="8979" max="8979" width="10.375" style="146" customWidth="1"/>
    <col min="8980" max="8980" width="7.75" style="146" customWidth="1"/>
    <col min="8981" max="8984" width="25" style="146" customWidth="1"/>
    <col min="8985" max="9221" width="11.5" style="146"/>
    <col min="9222" max="9222" width="1.625" style="146" customWidth="1"/>
    <col min="9223" max="9223" width="3.5" style="146" customWidth="1"/>
    <col min="9224" max="9224" width="35.875" style="146" customWidth="1"/>
    <col min="9225" max="9232" width="6.875" style="146" customWidth="1"/>
    <col min="9233" max="9233" width="13.5" style="146" customWidth="1"/>
    <col min="9234" max="9234" width="3.875" style="146" customWidth="1"/>
    <col min="9235" max="9235" width="10.375" style="146" customWidth="1"/>
    <col min="9236" max="9236" width="7.75" style="146" customWidth="1"/>
    <col min="9237" max="9240" width="25" style="146" customWidth="1"/>
    <col min="9241" max="9477" width="11.5" style="146"/>
    <col min="9478" max="9478" width="1.625" style="146" customWidth="1"/>
    <col min="9479" max="9479" width="3.5" style="146" customWidth="1"/>
    <col min="9480" max="9480" width="35.875" style="146" customWidth="1"/>
    <col min="9481" max="9488" width="6.875" style="146" customWidth="1"/>
    <col min="9489" max="9489" width="13.5" style="146" customWidth="1"/>
    <col min="9490" max="9490" width="3.875" style="146" customWidth="1"/>
    <col min="9491" max="9491" width="10.375" style="146" customWidth="1"/>
    <col min="9492" max="9492" width="7.75" style="146" customWidth="1"/>
    <col min="9493" max="9496" width="25" style="146" customWidth="1"/>
    <col min="9497" max="9733" width="11.5" style="146"/>
    <col min="9734" max="9734" width="1.625" style="146" customWidth="1"/>
    <col min="9735" max="9735" width="3.5" style="146" customWidth="1"/>
    <col min="9736" max="9736" width="35.875" style="146" customWidth="1"/>
    <col min="9737" max="9744" width="6.875" style="146" customWidth="1"/>
    <col min="9745" max="9745" width="13.5" style="146" customWidth="1"/>
    <col min="9746" max="9746" width="3.875" style="146" customWidth="1"/>
    <col min="9747" max="9747" width="10.375" style="146" customWidth="1"/>
    <col min="9748" max="9748" width="7.75" style="146" customWidth="1"/>
    <col min="9749" max="9752" width="25" style="146" customWidth="1"/>
    <col min="9753" max="9989" width="11.5" style="146"/>
    <col min="9990" max="9990" width="1.625" style="146" customWidth="1"/>
    <col min="9991" max="9991" width="3.5" style="146" customWidth="1"/>
    <col min="9992" max="9992" width="35.875" style="146" customWidth="1"/>
    <col min="9993" max="10000" width="6.875" style="146" customWidth="1"/>
    <col min="10001" max="10001" width="13.5" style="146" customWidth="1"/>
    <col min="10002" max="10002" width="3.875" style="146" customWidth="1"/>
    <col min="10003" max="10003" width="10.375" style="146" customWidth="1"/>
    <col min="10004" max="10004" width="7.75" style="146" customWidth="1"/>
    <col min="10005" max="10008" width="25" style="146" customWidth="1"/>
    <col min="10009" max="10245" width="11.5" style="146"/>
    <col min="10246" max="10246" width="1.625" style="146" customWidth="1"/>
    <col min="10247" max="10247" width="3.5" style="146" customWidth="1"/>
    <col min="10248" max="10248" width="35.875" style="146" customWidth="1"/>
    <col min="10249" max="10256" width="6.875" style="146" customWidth="1"/>
    <col min="10257" max="10257" width="13.5" style="146" customWidth="1"/>
    <col min="10258" max="10258" width="3.875" style="146" customWidth="1"/>
    <col min="10259" max="10259" width="10.375" style="146" customWidth="1"/>
    <col min="10260" max="10260" width="7.75" style="146" customWidth="1"/>
    <col min="10261" max="10264" width="25" style="146" customWidth="1"/>
    <col min="10265" max="10501" width="11.5" style="146"/>
    <col min="10502" max="10502" width="1.625" style="146" customWidth="1"/>
    <col min="10503" max="10503" width="3.5" style="146" customWidth="1"/>
    <col min="10504" max="10504" width="35.875" style="146" customWidth="1"/>
    <col min="10505" max="10512" width="6.875" style="146" customWidth="1"/>
    <col min="10513" max="10513" width="13.5" style="146" customWidth="1"/>
    <col min="10514" max="10514" width="3.875" style="146" customWidth="1"/>
    <col min="10515" max="10515" width="10.375" style="146" customWidth="1"/>
    <col min="10516" max="10516" width="7.75" style="146" customWidth="1"/>
    <col min="10517" max="10520" width="25" style="146" customWidth="1"/>
    <col min="10521" max="10757" width="11.5" style="146"/>
    <col min="10758" max="10758" width="1.625" style="146" customWidth="1"/>
    <col min="10759" max="10759" width="3.5" style="146" customWidth="1"/>
    <col min="10760" max="10760" width="35.875" style="146" customWidth="1"/>
    <col min="10761" max="10768" width="6.875" style="146" customWidth="1"/>
    <col min="10769" max="10769" width="13.5" style="146" customWidth="1"/>
    <col min="10770" max="10770" width="3.875" style="146" customWidth="1"/>
    <col min="10771" max="10771" width="10.375" style="146" customWidth="1"/>
    <col min="10772" max="10772" width="7.75" style="146" customWidth="1"/>
    <col min="10773" max="10776" width="25" style="146" customWidth="1"/>
    <col min="10777" max="11013" width="11.5" style="146"/>
    <col min="11014" max="11014" width="1.625" style="146" customWidth="1"/>
    <col min="11015" max="11015" width="3.5" style="146" customWidth="1"/>
    <col min="11016" max="11016" width="35.875" style="146" customWidth="1"/>
    <col min="11017" max="11024" width="6.875" style="146" customWidth="1"/>
    <col min="11025" max="11025" width="13.5" style="146" customWidth="1"/>
    <col min="11026" max="11026" width="3.875" style="146" customWidth="1"/>
    <col min="11027" max="11027" width="10.375" style="146" customWidth="1"/>
    <col min="11028" max="11028" width="7.75" style="146" customWidth="1"/>
    <col min="11029" max="11032" width="25" style="146" customWidth="1"/>
    <col min="11033" max="11269" width="11.5" style="146"/>
    <col min="11270" max="11270" width="1.625" style="146" customWidth="1"/>
    <col min="11271" max="11271" width="3.5" style="146" customWidth="1"/>
    <col min="11272" max="11272" width="35.875" style="146" customWidth="1"/>
    <col min="11273" max="11280" width="6.875" style="146" customWidth="1"/>
    <col min="11281" max="11281" width="13.5" style="146" customWidth="1"/>
    <col min="11282" max="11282" width="3.875" style="146" customWidth="1"/>
    <col min="11283" max="11283" width="10.375" style="146" customWidth="1"/>
    <col min="11284" max="11284" width="7.75" style="146" customWidth="1"/>
    <col min="11285" max="11288" width="25" style="146" customWidth="1"/>
    <col min="11289" max="11525" width="11.5" style="146"/>
    <col min="11526" max="11526" width="1.625" style="146" customWidth="1"/>
    <col min="11527" max="11527" width="3.5" style="146" customWidth="1"/>
    <col min="11528" max="11528" width="35.875" style="146" customWidth="1"/>
    <col min="11529" max="11536" width="6.875" style="146" customWidth="1"/>
    <col min="11537" max="11537" width="13.5" style="146" customWidth="1"/>
    <col min="11538" max="11538" width="3.875" style="146" customWidth="1"/>
    <col min="11539" max="11539" width="10.375" style="146" customWidth="1"/>
    <col min="11540" max="11540" width="7.75" style="146" customWidth="1"/>
    <col min="11541" max="11544" width="25" style="146" customWidth="1"/>
    <col min="11545" max="11781" width="11.5" style="146"/>
    <col min="11782" max="11782" width="1.625" style="146" customWidth="1"/>
    <col min="11783" max="11783" width="3.5" style="146" customWidth="1"/>
    <col min="11784" max="11784" width="35.875" style="146" customWidth="1"/>
    <col min="11785" max="11792" width="6.875" style="146" customWidth="1"/>
    <col min="11793" max="11793" width="13.5" style="146" customWidth="1"/>
    <col min="11794" max="11794" width="3.875" style="146" customWidth="1"/>
    <col min="11795" max="11795" width="10.375" style="146" customWidth="1"/>
    <col min="11796" max="11796" width="7.75" style="146" customWidth="1"/>
    <col min="11797" max="11800" width="25" style="146" customWidth="1"/>
    <col min="11801" max="12037" width="11.5" style="146"/>
    <col min="12038" max="12038" width="1.625" style="146" customWidth="1"/>
    <col min="12039" max="12039" width="3.5" style="146" customWidth="1"/>
    <col min="12040" max="12040" width="35.875" style="146" customWidth="1"/>
    <col min="12041" max="12048" width="6.875" style="146" customWidth="1"/>
    <col min="12049" max="12049" width="13.5" style="146" customWidth="1"/>
    <col min="12050" max="12050" width="3.875" style="146" customWidth="1"/>
    <col min="12051" max="12051" width="10.375" style="146" customWidth="1"/>
    <col min="12052" max="12052" width="7.75" style="146" customWidth="1"/>
    <col min="12053" max="12056" width="25" style="146" customWidth="1"/>
    <col min="12057" max="12293" width="11.5" style="146"/>
    <col min="12294" max="12294" width="1.625" style="146" customWidth="1"/>
    <col min="12295" max="12295" width="3.5" style="146" customWidth="1"/>
    <col min="12296" max="12296" width="35.875" style="146" customWidth="1"/>
    <col min="12297" max="12304" width="6.875" style="146" customWidth="1"/>
    <col min="12305" max="12305" width="13.5" style="146" customWidth="1"/>
    <col min="12306" max="12306" width="3.875" style="146" customWidth="1"/>
    <col min="12307" max="12307" width="10.375" style="146" customWidth="1"/>
    <col min="12308" max="12308" width="7.75" style="146" customWidth="1"/>
    <col min="12309" max="12312" width="25" style="146" customWidth="1"/>
    <col min="12313" max="12549" width="11.5" style="146"/>
    <col min="12550" max="12550" width="1.625" style="146" customWidth="1"/>
    <col min="12551" max="12551" width="3.5" style="146" customWidth="1"/>
    <col min="12552" max="12552" width="35.875" style="146" customWidth="1"/>
    <col min="12553" max="12560" width="6.875" style="146" customWidth="1"/>
    <col min="12561" max="12561" width="13.5" style="146" customWidth="1"/>
    <col min="12562" max="12562" width="3.875" style="146" customWidth="1"/>
    <col min="12563" max="12563" width="10.375" style="146" customWidth="1"/>
    <col min="12564" max="12564" width="7.75" style="146" customWidth="1"/>
    <col min="12565" max="12568" width="25" style="146" customWidth="1"/>
    <col min="12569" max="12805" width="11.5" style="146"/>
    <col min="12806" max="12806" width="1.625" style="146" customWidth="1"/>
    <col min="12807" max="12807" width="3.5" style="146" customWidth="1"/>
    <col min="12808" max="12808" width="35.875" style="146" customWidth="1"/>
    <col min="12809" max="12816" width="6.875" style="146" customWidth="1"/>
    <col min="12817" max="12817" width="13.5" style="146" customWidth="1"/>
    <col min="12818" max="12818" width="3.875" style="146" customWidth="1"/>
    <col min="12819" max="12819" width="10.375" style="146" customWidth="1"/>
    <col min="12820" max="12820" width="7.75" style="146" customWidth="1"/>
    <col min="12821" max="12824" width="25" style="146" customWidth="1"/>
    <col min="12825" max="13061" width="11.5" style="146"/>
    <col min="13062" max="13062" width="1.625" style="146" customWidth="1"/>
    <col min="13063" max="13063" width="3.5" style="146" customWidth="1"/>
    <col min="13064" max="13064" width="35.875" style="146" customWidth="1"/>
    <col min="13065" max="13072" width="6.875" style="146" customWidth="1"/>
    <col min="13073" max="13073" width="13.5" style="146" customWidth="1"/>
    <col min="13074" max="13074" width="3.875" style="146" customWidth="1"/>
    <col min="13075" max="13075" width="10.375" style="146" customWidth="1"/>
    <col min="13076" max="13076" width="7.75" style="146" customWidth="1"/>
    <col min="13077" max="13080" width="25" style="146" customWidth="1"/>
    <col min="13081" max="13317" width="11.5" style="146"/>
    <col min="13318" max="13318" width="1.625" style="146" customWidth="1"/>
    <col min="13319" max="13319" width="3.5" style="146" customWidth="1"/>
    <col min="13320" max="13320" width="35.875" style="146" customWidth="1"/>
    <col min="13321" max="13328" width="6.875" style="146" customWidth="1"/>
    <col min="13329" max="13329" width="13.5" style="146" customWidth="1"/>
    <col min="13330" max="13330" width="3.875" style="146" customWidth="1"/>
    <col min="13331" max="13331" width="10.375" style="146" customWidth="1"/>
    <col min="13332" max="13332" width="7.75" style="146" customWidth="1"/>
    <col min="13333" max="13336" width="25" style="146" customWidth="1"/>
    <col min="13337" max="13573" width="11.5" style="146"/>
    <col min="13574" max="13574" width="1.625" style="146" customWidth="1"/>
    <col min="13575" max="13575" width="3.5" style="146" customWidth="1"/>
    <col min="13576" max="13576" width="35.875" style="146" customWidth="1"/>
    <col min="13577" max="13584" width="6.875" style="146" customWidth="1"/>
    <col min="13585" max="13585" width="13.5" style="146" customWidth="1"/>
    <col min="13586" max="13586" width="3.875" style="146" customWidth="1"/>
    <col min="13587" max="13587" width="10.375" style="146" customWidth="1"/>
    <col min="13588" max="13588" width="7.75" style="146" customWidth="1"/>
    <col min="13589" max="13592" width="25" style="146" customWidth="1"/>
    <col min="13593" max="13829" width="11.5" style="146"/>
    <col min="13830" max="13830" width="1.625" style="146" customWidth="1"/>
    <col min="13831" max="13831" width="3.5" style="146" customWidth="1"/>
    <col min="13832" max="13832" width="35.875" style="146" customWidth="1"/>
    <col min="13833" max="13840" width="6.875" style="146" customWidth="1"/>
    <col min="13841" max="13841" width="13.5" style="146" customWidth="1"/>
    <col min="13842" max="13842" width="3.875" style="146" customWidth="1"/>
    <col min="13843" max="13843" width="10.375" style="146" customWidth="1"/>
    <col min="13844" max="13844" width="7.75" style="146" customWidth="1"/>
    <col min="13845" max="13848" width="25" style="146" customWidth="1"/>
    <col min="13849" max="14085" width="11.5" style="146"/>
    <col min="14086" max="14086" width="1.625" style="146" customWidth="1"/>
    <col min="14087" max="14087" width="3.5" style="146" customWidth="1"/>
    <col min="14088" max="14088" width="35.875" style="146" customWidth="1"/>
    <col min="14089" max="14096" width="6.875" style="146" customWidth="1"/>
    <col min="14097" max="14097" width="13.5" style="146" customWidth="1"/>
    <col min="14098" max="14098" width="3.875" style="146" customWidth="1"/>
    <col min="14099" max="14099" width="10.375" style="146" customWidth="1"/>
    <col min="14100" max="14100" width="7.75" style="146" customWidth="1"/>
    <col min="14101" max="14104" width="25" style="146" customWidth="1"/>
    <col min="14105" max="14341" width="11.5" style="146"/>
    <col min="14342" max="14342" width="1.625" style="146" customWidth="1"/>
    <col min="14343" max="14343" width="3.5" style="146" customWidth="1"/>
    <col min="14344" max="14344" width="35.875" style="146" customWidth="1"/>
    <col min="14345" max="14352" width="6.875" style="146" customWidth="1"/>
    <col min="14353" max="14353" width="13.5" style="146" customWidth="1"/>
    <col min="14354" max="14354" width="3.875" style="146" customWidth="1"/>
    <col min="14355" max="14355" width="10.375" style="146" customWidth="1"/>
    <col min="14356" max="14356" width="7.75" style="146" customWidth="1"/>
    <col min="14357" max="14360" width="25" style="146" customWidth="1"/>
    <col min="14361" max="14597" width="11.5" style="146"/>
    <col min="14598" max="14598" width="1.625" style="146" customWidth="1"/>
    <col min="14599" max="14599" width="3.5" style="146" customWidth="1"/>
    <col min="14600" max="14600" width="35.875" style="146" customWidth="1"/>
    <col min="14601" max="14608" width="6.875" style="146" customWidth="1"/>
    <col min="14609" max="14609" width="13.5" style="146" customWidth="1"/>
    <col min="14610" max="14610" width="3.875" style="146" customWidth="1"/>
    <col min="14611" max="14611" width="10.375" style="146" customWidth="1"/>
    <col min="14612" max="14612" width="7.75" style="146" customWidth="1"/>
    <col min="14613" max="14616" width="25" style="146" customWidth="1"/>
    <col min="14617" max="14853" width="11.5" style="146"/>
    <col min="14854" max="14854" width="1.625" style="146" customWidth="1"/>
    <col min="14855" max="14855" width="3.5" style="146" customWidth="1"/>
    <col min="14856" max="14856" width="35.875" style="146" customWidth="1"/>
    <col min="14857" max="14864" width="6.875" style="146" customWidth="1"/>
    <col min="14865" max="14865" width="13.5" style="146" customWidth="1"/>
    <col min="14866" max="14866" width="3.875" style="146" customWidth="1"/>
    <col min="14867" max="14867" width="10.375" style="146" customWidth="1"/>
    <col min="14868" max="14868" width="7.75" style="146" customWidth="1"/>
    <col min="14869" max="14872" width="25" style="146" customWidth="1"/>
    <col min="14873" max="15109" width="11.5" style="146"/>
    <col min="15110" max="15110" width="1.625" style="146" customWidth="1"/>
    <col min="15111" max="15111" width="3.5" style="146" customWidth="1"/>
    <col min="15112" max="15112" width="35.875" style="146" customWidth="1"/>
    <col min="15113" max="15120" width="6.875" style="146" customWidth="1"/>
    <col min="15121" max="15121" width="13.5" style="146" customWidth="1"/>
    <col min="15122" max="15122" width="3.875" style="146" customWidth="1"/>
    <col min="15123" max="15123" width="10.375" style="146" customWidth="1"/>
    <col min="15124" max="15124" width="7.75" style="146" customWidth="1"/>
    <col min="15125" max="15128" width="25" style="146" customWidth="1"/>
    <col min="15129" max="15365" width="11.5" style="146"/>
    <col min="15366" max="15366" width="1.625" style="146" customWidth="1"/>
    <col min="15367" max="15367" width="3.5" style="146" customWidth="1"/>
    <col min="15368" max="15368" width="35.875" style="146" customWidth="1"/>
    <col min="15369" max="15376" width="6.875" style="146" customWidth="1"/>
    <col min="15377" max="15377" width="13.5" style="146" customWidth="1"/>
    <col min="15378" max="15378" width="3.875" style="146" customWidth="1"/>
    <col min="15379" max="15379" width="10.375" style="146" customWidth="1"/>
    <col min="15380" max="15380" width="7.75" style="146" customWidth="1"/>
    <col min="15381" max="15384" width="25" style="146" customWidth="1"/>
    <col min="15385" max="15621" width="11.5" style="146"/>
    <col min="15622" max="15622" width="1.625" style="146" customWidth="1"/>
    <col min="15623" max="15623" width="3.5" style="146" customWidth="1"/>
    <col min="15624" max="15624" width="35.875" style="146" customWidth="1"/>
    <col min="15625" max="15632" width="6.875" style="146" customWidth="1"/>
    <col min="15633" max="15633" width="13.5" style="146" customWidth="1"/>
    <col min="15634" max="15634" width="3.875" style="146" customWidth="1"/>
    <col min="15635" max="15635" width="10.375" style="146" customWidth="1"/>
    <col min="15636" max="15636" width="7.75" style="146" customWidth="1"/>
    <col min="15637" max="15640" width="25" style="146" customWidth="1"/>
    <col min="15641" max="15877" width="11.5" style="146"/>
    <col min="15878" max="15878" width="1.625" style="146" customWidth="1"/>
    <col min="15879" max="15879" width="3.5" style="146" customWidth="1"/>
    <col min="15880" max="15880" width="35.875" style="146" customWidth="1"/>
    <col min="15881" max="15888" width="6.875" style="146" customWidth="1"/>
    <col min="15889" max="15889" width="13.5" style="146" customWidth="1"/>
    <col min="15890" max="15890" width="3.875" style="146" customWidth="1"/>
    <col min="15891" max="15891" width="10.375" style="146" customWidth="1"/>
    <col min="15892" max="15892" width="7.75" style="146" customWidth="1"/>
    <col min="15893" max="15896" width="25" style="146" customWidth="1"/>
    <col min="15897" max="16133" width="11.5" style="146"/>
    <col min="16134" max="16134" width="1.625" style="146" customWidth="1"/>
    <col min="16135" max="16135" width="3.5" style="146" customWidth="1"/>
    <col min="16136" max="16136" width="35.875" style="146" customWidth="1"/>
    <col min="16137" max="16144" width="6.875" style="146" customWidth="1"/>
    <col min="16145" max="16145" width="13.5" style="146" customWidth="1"/>
    <col min="16146" max="16146" width="3.875" style="146" customWidth="1"/>
    <col min="16147" max="16147" width="10.375" style="146" customWidth="1"/>
    <col min="16148" max="16148" width="7.75" style="146" customWidth="1"/>
    <col min="16149" max="16152" width="25" style="146" customWidth="1"/>
    <col min="16153" max="16384" width="11.5" style="146"/>
  </cols>
  <sheetData>
    <row r="1" spans="1:38" ht="46.15" customHeight="1" x14ac:dyDescent="0.25">
      <c r="C1" s="676"/>
      <c r="E1" s="146"/>
      <c r="F1" s="146"/>
      <c r="G1" s="1679"/>
      <c r="H1" s="961"/>
      <c r="I1" s="146"/>
      <c r="J1" s="146"/>
      <c r="K1" s="146"/>
      <c r="L1" s="663" t="str">
        <f>Startmenue!G2</f>
        <v>Version 1.2</v>
      </c>
      <c r="M1" s="146"/>
      <c r="N1" s="146"/>
      <c r="O1" s="146"/>
      <c r="P1" s="146"/>
      <c r="Q1" s="146"/>
      <c r="T1" s="146"/>
      <c r="U1" s="146"/>
      <c r="V1" s="576"/>
      <c r="AA1" s="595"/>
      <c r="AF1" s="576"/>
      <c r="AK1" s="576"/>
      <c r="AL1" s="597"/>
    </row>
    <row r="2" spans="1:38" ht="13.7" customHeight="1" x14ac:dyDescent="0.2">
      <c r="B2" s="595" t="s">
        <v>4368</v>
      </c>
      <c r="C2" s="680"/>
      <c r="D2" s="1214"/>
      <c r="E2" s="1215" t="s">
        <v>4406</v>
      </c>
      <c r="F2" s="1215"/>
      <c r="G2" s="1215"/>
      <c r="H2" s="1215"/>
      <c r="I2" s="1215"/>
      <c r="J2" s="1216"/>
      <c r="K2" s="584"/>
      <c r="L2" s="584"/>
      <c r="M2" s="584"/>
      <c r="N2" s="584"/>
      <c r="O2" s="584"/>
      <c r="P2" s="584"/>
      <c r="Q2" s="584"/>
    </row>
    <row r="3" spans="1:38" ht="13.7" customHeight="1" x14ac:dyDescent="0.2">
      <c r="B3" s="595" t="s">
        <v>4369</v>
      </c>
      <c r="C3" s="680"/>
      <c r="D3" s="584"/>
      <c r="E3" s="964" t="s">
        <v>4462</v>
      </c>
      <c r="F3" s="584"/>
      <c r="G3" s="584"/>
      <c r="H3" s="584"/>
      <c r="I3" s="857"/>
      <c r="J3" s="584"/>
      <c r="K3" s="584"/>
      <c r="L3" s="584"/>
      <c r="M3" s="584"/>
      <c r="N3" s="584"/>
      <c r="O3" s="584"/>
      <c r="P3" s="584"/>
      <c r="Q3" s="584"/>
    </row>
    <row r="4" spans="1:38" ht="13.7" customHeight="1" x14ac:dyDescent="0.2">
      <c r="B4" s="595"/>
      <c r="C4" s="680"/>
      <c r="D4" s="584"/>
      <c r="E4" s="964" t="s">
        <v>4463</v>
      </c>
      <c r="F4" s="584"/>
      <c r="G4" s="584"/>
      <c r="H4" s="584"/>
      <c r="I4" s="857"/>
      <c r="J4" s="584"/>
      <c r="K4" s="584"/>
      <c r="L4" s="584"/>
      <c r="M4" s="584"/>
      <c r="N4" s="584"/>
      <c r="O4" s="584"/>
      <c r="P4" s="584"/>
      <c r="Q4" s="584"/>
    </row>
    <row r="5" spans="1:38" ht="2.1" customHeight="1" x14ac:dyDescent="0.2">
      <c r="C5" s="680"/>
      <c r="D5" s="584"/>
      <c r="E5" s="964"/>
      <c r="F5" s="584"/>
      <c r="G5" s="584"/>
      <c r="H5" s="584"/>
      <c r="I5" s="857"/>
      <c r="J5" s="584"/>
      <c r="K5" s="584"/>
      <c r="L5" s="584"/>
      <c r="M5" s="584"/>
      <c r="N5" s="584"/>
      <c r="O5" s="584"/>
      <c r="P5" s="584"/>
      <c r="Q5" s="584"/>
    </row>
    <row r="6" spans="1:38" ht="0.75" customHeight="1" x14ac:dyDescent="0.2">
      <c r="C6" s="680"/>
      <c r="D6" s="584"/>
      <c r="E6" s="584"/>
      <c r="F6" s="584"/>
      <c r="G6" s="584"/>
      <c r="H6" s="584"/>
      <c r="I6" s="857"/>
      <c r="J6" s="584"/>
      <c r="K6" s="584"/>
      <c r="L6" s="584"/>
      <c r="M6" s="584"/>
      <c r="N6" s="584"/>
      <c r="O6" s="584"/>
      <c r="P6" s="584"/>
      <c r="Q6" s="584"/>
    </row>
    <row r="7" spans="1:38" ht="0.75" customHeight="1" x14ac:dyDescent="0.2">
      <c r="C7" s="680"/>
      <c r="D7" s="584"/>
      <c r="E7" s="584"/>
      <c r="F7" s="584"/>
      <c r="G7" s="584"/>
      <c r="H7" s="584"/>
      <c r="I7" s="857"/>
      <c r="J7" s="584"/>
      <c r="K7" s="584"/>
      <c r="L7" s="584"/>
      <c r="M7" s="584"/>
      <c r="N7" s="584"/>
      <c r="O7" s="584"/>
      <c r="P7" s="584"/>
      <c r="Q7" s="584"/>
    </row>
    <row r="8" spans="1:38" ht="0.75" customHeight="1" x14ac:dyDescent="0.2">
      <c r="B8" s="863"/>
      <c r="C8" s="806"/>
      <c r="D8" s="864"/>
      <c r="E8" s="864"/>
      <c r="F8" s="864"/>
      <c r="G8" s="864"/>
      <c r="H8" s="864"/>
      <c r="I8" s="865"/>
      <c r="J8" s="864"/>
      <c r="K8" s="864"/>
      <c r="L8" s="864"/>
      <c r="M8" s="864"/>
      <c r="N8" s="864"/>
      <c r="O8" s="864"/>
      <c r="P8" s="864"/>
      <c r="Q8" s="864"/>
    </row>
    <row r="9" spans="1:38" s="582" customFormat="1" ht="2.85" customHeight="1" x14ac:dyDescent="0.2">
      <c r="C9" s="680">
        <f>COLUMNS($C9:C$9)</f>
        <v>1</v>
      </c>
      <c r="D9" s="680">
        <f>COLUMNS($C9:D$9)</f>
        <v>2</v>
      </c>
      <c r="E9" s="680">
        <f>COLUMNS($C9:E$9)</f>
        <v>3</v>
      </c>
      <c r="F9" s="680">
        <f>COLUMNS($C9:F$9)</f>
        <v>4</v>
      </c>
      <c r="G9" s="680">
        <f>COLUMNS($C9:G$9)</f>
        <v>5</v>
      </c>
      <c r="H9" s="680">
        <f>COLUMNS($C9:H$9)</f>
        <v>6</v>
      </c>
      <c r="I9" s="680">
        <f>COLUMNS($C9:I$9)</f>
        <v>7</v>
      </c>
      <c r="J9" s="680">
        <f>COLUMNS($C9:J$9)</f>
        <v>8</v>
      </c>
      <c r="K9" s="680">
        <f>COLUMNS($C9:K$9)</f>
        <v>9</v>
      </c>
      <c r="L9" s="680">
        <f>COLUMNS($C9:L$9)</f>
        <v>10</v>
      </c>
      <c r="M9" s="680">
        <f>COLUMNS($C9:M$9)</f>
        <v>11</v>
      </c>
      <c r="N9" s="680">
        <f>COLUMNS($C9:N$9)</f>
        <v>12</v>
      </c>
      <c r="O9" s="680">
        <f>COLUMNS($C9:O$9)</f>
        <v>13</v>
      </c>
      <c r="P9" s="680">
        <f>COLUMNS($C9:P$9)</f>
        <v>14</v>
      </c>
      <c r="Q9" s="680">
        <f>COLUMNS($C9:Q$9)</f>
        <v>15</v>
      </c>
    </row>
    <row r="10" spans="1:38" s="1246" customFormat="1" ht="42.75" customHeight="1" x14ac:dyDescent="0.2">
      <c r="A10" s="1244"/>
      <c r="B10" s="962"/>
      <c r="C10" s="962"/>
      <c r="D10" s="1245" t="s">
        <v>3954</v>
      </c>
      <c r="E10" s="1246" t="s">
        <v>26</v>
      </c>
      <c r="F10" s="1246" t="s">
        <v>4446</v>
      </c>
      <c r="G10" s="1246" t="s">
        <v>4433</v>
      </c>
      <c r="H10" s="1246" t="s">
        <v>4608</v>
      </c>
      <c r="I10" s="1246" t="s">
        <v>4445</v>
      </c>
      <c r="J10" s="1246" t="s">
        <v>4456</v>
      </c>
      <c r="K10" s="1246" t="s">
        <v>4606</v>
      </c>
      <c r="L10" s="1246" t="s">
        <v>4607</v>
      </c>
      <c r="M10" s="1246" t="s">
        <v>25</v>
      </c>
      <c r="N10" s="1246" t="s">
        <v>3847</v>
      </c>
      <c r="O10" s="1246" t="s">
        <v>3837</v>
      </c>
      <c r="P10" s="1246" t="s">
        <v>4434</v>
      </c>
      <c r="Q10" s="1246" t="s">
        <v>4435</v>
      </c>
      <c r="R10" s="1247"/>
    </row>
    <row r="11" spans="1:38" s="1241" customFormat="1" ht="13.15" customHeight="1" x14ac:dyDescent="0.2">
      <c r="A11" s="1237"/>
      <c r="B11" s="1238"/>
      <c r="C11" s="1239"/>
      <c r="D11" s="1239"/>
      <c r="E11" s="1475"/>
      <c r="F11" s="1243" t="s">
        <v>3660</v>
      </c>
      <c r="G11" s="1243" t="s">
        <v>4448</v>
      </c>
      <c r="H11" s="1475"/>
      <c r="I11" s="1973" t="s">
        <v>4447</v>
      </c>
      <c r="J11" s="1974"/>
      <c r="K11" s="1974"/>
      <c r="L11" s="1974"/>
      <c r="M11" s="1974"/>
      <c r="N11" s="1975"/>
      <c r="O11" s="1475"/>
      <c r="P11" s="1475"/>
      <c r="Q11" s="1476"/>
      <c r="R11" s="1240"/>
      <c r="T11" s="1242"/>
      <c r="U11" s="1242"/>
    </row>
    <row r="12" spans="1:38" s="595" customFormat="1" ht="13.7" customHeight="1" x14ac:dyDescent="0.2">
      <c r="A12" s="876"/>
      <c r="B12" s="830"/>
      <c r="C12" s="960">
        <v>1</v>
      </c>
      <c r="D12" s="611" t="s">
        <v>4458</v>
      </c>
      <c r="E12" s="615">
        <v>0</v>
      </c>
      <c r="F12" s="615">
        <v>0</v>
      </c>
      <c r="G12" s="615">
        <v>0</v>
      </c>
      <c r="H12" s="615">
        <v>0</v>
      </c>
      <c r="I12" s="615">
        <v>0</v>
      </c>
      <c r="J12" s="615">
        <v>0</v>
      </c>
      <c r="K12" s="615">
        <v>0</v>
      </c>
      <c r="L12" s="615">
        <v>0</v>
      </c>
      <c r="M12" s="615">
        <v>0</v>
      </c>
      <c r="N12" s="615">
        <v>0</v>
      </c>
      <c r="O12" s="615">
        <v>0</v>
      </c>
      <c r="P12" s="615"/>
      <c r="Q12" s="1477"/>
      <c r="R12" s="969"/>
      <c r="T12" s="597"/>
      <c r="U12" s="597"/>
    </row>
    <row r="13" spans="1:38" s="595" customFormat="1" ht="13.7" customHeight="1" x14ac:dyDescent="0.2">
      <c r="A13" s="876"/>
      <c r="B13" s="813"/>
      <c r="C13" s="680">
        <f>C12+1</f>
        <v>2</v>
      </c>
      <c r="D13" s="595" t="s">
        <v>3632</v>
      </c>
      <c r="E13" s="597" t="s">
        <v>3460</v>
      </c>
      <c r="F13" s="597">
        <v>25</v>
      </c>
      <c r="G13" s="597">
        <v>25</v>
      </c>
      <c r="H13" s="597">
        <v>0.1</v>
      </c>
      <c r="I13" s="968">
        <v>7.3</v>
      </c>
      <c r="J13" s="968">
        <v>0.6</v>
      </c>
      <c r="K13" s="968">
        <v>4.5</v>
      </c>
      <c r="L13" s="968">
        <v>12.8</v>
      </c>
      <c r="M13" s="968">
        <v>1.5</v>
      </c>
      <c r="N13" s="597">
        <v>3.5</v>
      </c>
      <c r="O13" s="597" t="s">
        <v>3836</v>
      </c>
      <c r="P13" s="597" t="s">
        <v>3461</v>
      </c>
      <c r="Q13" s="875" t="s">
        <v>3462</v>
      </c>
      <c r="R13" s="969"/>
      <c r="T13" s="597"/>
      <c r="U13" s="584" t="s">
        <v>3758</v>
      </c>
    </row>
    <row r="14" spans="1:38" s="595" customFormat="1" ht="13.7" customHeight="1" x14ac:dyDescent="0.2">
      <c r="A14" s="876"/>
      <c r="B14" s="967"/>
      <c r="C14" s="680">
        <f>C13+1</f>
        <v>3</v>
      </c>
      <c r="D14" s="595" t="s">
        <v>3463</v>
      </c>
      <c r="E14" s="597" t="s">
        <v>3460</v>
      </c>
      <c r="F14" s="597">
        <v>25</v>
      </c>
      <c r="G14" s="597">
        <v>25</v>
      </c>
      <c r="H14" s="597">
        <v>0.1</v>
      </c>
      <c r="I14" s="968">
        <v>6.5</v>
      </c>
      <c r="J14" s="968">
        <v>0.6</v>
      </c>
      <c r="K14" s="968">
        <v>4</v>
      </c>
      <c r="L14" s="968">
        <v>11</v>
      </c>
      <c r="M14" s="968">
        <v>1.5</v>
      </c>
      <c r="N14" s="597">
        <v>3.5</v>
      </c>
      <c r="O14" s="597" t="s">
        <v>3836</v>
      </c>
      <c r="P14" s="597" t="s">
        <v>3461</v>
      </c>
      <c r="Q14" s="875" t="s">
        <v>3462</v>
      </c>
      <c r="R14" s="969"/>
      <c r="T14" s="861">
        <f>COLUMNS($T$9:T9)</f>
        <v>1</v>
      </c>
      <c r="U14" s="861">
        <f>COLUMNS($T$9:U9)</f>
        <v>2</v>
      </c>
    </row>
    <row r="15" spans="1:38" s="595" customFormat="1" ht="13.7" customHeight="1" x14ac:dyDescent="0.2">
      <c r="A15" s="876"/>
      <c r="B15" s="813"/>
      <c r="C15" s="680">
        <f t="shared" ref="C15:C73" si="0">C14+1</f>
        <v>4</v>
      </c>
      <c r="D15" s="595" t="s">
        <v>4449</v>
      </c>
      <c r="E15" s="597" t="s">
        <v>3460</v>
      </c>
      <c r="F15" s="597">
        <v>25</v>
      </c>
      <c r="G15" s="597">
        <v>30</v>
      </c>
      <c r="H15" s="597">
        <v>0.1</v>
      </c>
      <c r="I15" s="968">
        <v>9.8000000000000007</v>
      </c>
      <c r="J15" s="968">
        <v>0.8</v>
      </c>
      <c r="K15" s="968">
        <v>8.1999999999999993</v>
      </c>
      <c r="L15" s="968">
        <v>6.8999999999999995</v>
      </c>
      <c r="M15" s="968">
        <v>2.5</v>
      </c>
      <c r="N15" s="597">
        <v>4.5</v>
      </c>
      <c r="O15" s="597" t="s">
        <v>3836</v>
      </c>
      <c r="P15" s="597" t="s">
        <v>3461</v>
      </c>
      <c r="Q15" s="875" t="s">
        <v>3462</v>
      </c>
      <c r="R15" s="969"/>
      <c r="T15" s="859">
        <v>1</v>
      </c>
      <c r="U15" s="860" t="s">
        <v>3494</v>
      </c>
    </row>
    <row r="16" spans="1:38" s="595" customFormat="1" ht="13.7" customHeight="1" x14ac:dyDescent="0.2">
      <c r="A16" s="876"/>
      <c r="B16" s="813"/>
      <c r="C16" s="680">
        <f t="shared" si="0"/>
        <v>5</v>
      </c>
      <c r="D16" s="595" t="s">
        <v>4450</v>
      </c>
      <c r="E16" s="597" t="s">
        <v>3460</v>
      </c>
      <c r="F16" s="597">
        <v>25</v>
      </c>
      <c r="G16" s="597">
        <v>30</v>
      </c>
      <c r="H16" s="597">
        <v>0.1</v>
      </c>
      <c r="I16" s="968">
        <v>8.6</v>
      </c>
      <c r="J16" s="968">
        <v>0.70000000000000007</v>
      </c>
      <c r="K16" s="968">
        <v>6.8000000000000007</v>
      </c>
      <c r="L16" s="968">
        <v>6.7</v>
      </c>
      <c r="M16" s="968">
        <v>2.5</v>
      </c>
      <c r="N16" s="597">
        <v>4.5</v>
      </c>
      <c r="O16" s="597" t="s">
        <v>3836</v>
      </c>
      <c r="P16" s="597" t="s">
        <v>3461</v>
      </c>
      <c r="Q16" s="875" t="s">
        <v>3462</v>
      </c>
      <c r="R16" s="969"/>
      <c r="T16" s="861">
        <v>1</v>
      </c>
      <c r="U16" s="861" t="s">
        <v>3590</v>
      </c>
    </row>
    <row r="17" spans="1:21" s="595" customFormat="1" ht="13.7" customHeight="1" x14ac:dyDescent="0.2">
      <c r="A17" s="876"/>
      <c r="B17" s="813"/>
      <c r="C17" s="680">
        <f t="shared" si="0"/>
        <v>6</v>
      </c>
      <c r="D17" s="595" t="s">
        <v>3464</v>
      </c>
      <c r="E17" s="597" t="s">
        <v>3460</v>
      </c>
      <c r="F17" s="597">
        <v>25</v>
      </c>
      <c r="G17" s="597">
        <v>25</v>
      </c>
      <c r="H17" s="597">
        <v>0.1</v>
      </c>
      <c r="I17" s="968">
        <v>5.5</v>
      </c>
      <c r="J17" s="968">
        <v>0.5</v>
      </c>
      <c r="K17" s="968">
        <v>3.2</v>
      </c>
      <c r="L17" s="968">
        <v>13.3</v>
      </c>
      <c r="M17" s="968">
        <v>2</v>
      </c>
      <c r="N17" s="597">
        <v>4</v>
      </c>
      <c r="O17" s="597" t="s">
        <v>3836</v>
      </c>
      <c r="P17" s="597" t="s">
        <v>3461</v>
      </c>
      <c r="Q17" s="875" t="s">
        <v>3462</v>
      </c>
      <c r="R17" s="969"/>
      <c r="T17" s="861">
        <v>2</v>
      </c>
      <c r="U17" s="861" t="s">
        <v>3593</v>
      </c>
    </row>
    <row r="18" spans="1:21" s="595" customFormat="1" ht="13.7" customHeight="1" x14ac:dyDescent="0.2">
      <c r="A18" s="876"/>
      <c r="B18" s="813"/>
      <c r="C18" s="680">
        <f t="shared" si="0"/>
        <v>7</v>
      </c>
      <c r="D18" s="595" t="s">
        <v>3465</v>
      </c>
      <c r="E18" s="597" t="s">
        <v>3460</v>
      </c>
      <c r="F18" s="597">
        <v>25</v>
      </c>
      <c r="G18" s="597">
        <v>25</v>
      </c>
      <c r="H18" s="597">
        <v>0.1</v>
      </c>
      <c r="I18" s="968">
        <v>5</v>
      </c>
      <c r="J18" s="968">
        <v>0.5</v>
      </c>
      <c r="K18" s="968">
        <v>3.8</v>
      </c>
      <c r="L18" s="968">
        <v>12.6</v>
      </c>
      <c r="M18" s="968">
        <v>1</v>
      </c>
      <c r="N18" s="597">
        <v>3.5</v>
      </c>
      <c r="O18" s="597" t="s">
        <v>3836</v>
      </c>
      <c r="P18" s="597" t="s">
        <v>3461</v>
      </c>
      <c r="Q18" s="875" t="s">
        <v>3462</v>
      </c>
      <c r="R18" s="969"/>
      <c r="T18" s="597"/>
      <c r="U18" s="597"/>
    </row>
    <row r="19" spans="1:21" s="595" customFormat="1" ht="13.7" customHeight="1" x14ac:dyDescent="0.2">
      <c r="A19" s="876"/>
      <c r="B19" s="813"/>
      <c r="C19" s="680">
        <f t="shared" si="0"/>
        <v>8</v>
      </c>
      <c r="D19" s="595" t="s">
        <v>4627</v>
      </c>
      <c r="E19" s="597" t="s">
        <v>3460</v>
      </c>
      <c r="F19" s="597">
        <v>25</v>
      </c>
      <c r="G19" s="597">
        <v>25</v>
      </c>
      <c r="H19" s="597">
        <v>0.1</v>
      </c>
      <c r="I19" s="968">
        <v>5.2</v>
      </c>
      <c r="J19" s="968">
        <v>0.5</v>
      </c>
      <c r="K19" s="968">
        <v>3.6</v>
      </c>
      <c r="L19" s="968">
        <v>12.8</v>
      </c>
      <c r="M19" s="968">
        <v>2</v>
      </c>
      <c r="N19" s="1051"/>
      <c r="O19" s="597" t="s">
        <v>3836</v>
      </c>
      <c r="P19" s="597" t="s">
        <v>3461</v>
      </c>
      <c r="Q19" s="875" t="s">
        <v>3462</v>
      </c>
      <c r="R19" s="969"/>
      <c r="S19" s="591" t="s">
        <v>3488</v>
      </c>
      <c r="T19" s="726">
        <f>AB_Eingabe!M64</f>
        <v>1</v>
      </c>
      <c r="U19" s="584" t="str">
        <f>VLOOKUP($T$19,$T$16:$U$17,$U$14,FALSE)</f>
        <v>Nein</v>
      </c>
    </row>
    <row r="20" spans="1:21" s="595" customFormat="1" ht="13.7" customHeight="1" x14ac:dyDescent="0.2">
      <c r="A20" s="876"/>
      <c r="B20" s="813"/>
      <c r="C20" s="680">
        <f t="shared" si="0"/>
        <v>9</v>
      </c>
      <c r="D20" s="595" t="s">
        <v>3466</v>
      </c>
      <c r="E20" s="597" t="s">
        <v>3460</v>
      </c>
      <c r="F20" s="1478">
        <v>30</v>
      </c>
      <c r="G20" s="597">
        <v>30</v>
      </c>
      <c r="H20" s="597">
        <v>0.1</v>
      </c>
      <c r="I20" s="968">
        <v>18</v>
      </c>
      <c r="J20" s="968"/>
      <c r="K20" s="968">
        <v>19</v>
      </c>
      <c r="L20" s="968">
        <v>45</v>
      </c>
      <c r="M20" s="968">
        <v>1.5</v>
      </c>
      <c r="N20" s="1051"/>
      <c r="O20" s="597" t="s">
        <v>3836</v>
      </c>
      <c r="P20" s="597" t="s">
        <v>3461</v>
      </c>
      <c r="Q20" s="875" t="s">
        <v>3462</v>
      </c>
      <c r="R20" s="969"/>
      <c r="T20" s="597"/>
      <c r="U20" s="597"/>
    </row>
    <row r="21" spans="1:21" s="595" customFormat="1" ht="13.7" customHeight="1" x14ac:dyDescent="0.2">
      <c r="A21" s="876"/>
      <c r="B21" s="813"/>
      <c r="C21" s="680">
        <f t="shared" si="0"/>
        <v>10</v>
      </c>
      <c r="D21" s="595" t="s">
        <v>3467</v>
      </c>
      <c r="E21" s="597" t="s">
        <v>3460</v>
      </c>
      <c r="F21" s="597">
        <v>50</v>
      </c>
      <c r="G21" s="597">
        <v>30</v>
      </c>
      <c r="H21" s="597">
        <v>0.1</v>
      </c>
      <c r="I21" s="968">
        <v>22</v>
      </c>
      <c r="J21" s="968">
        <v>8.9</v>
      </c>
      <c r="K21" s="968">
        <v>18</v>
      </c>
      <c r="L21" s="968">
        <v>16</v>
      </c>
      <c r="M21" s="968">
        <v>6</v>
      </c>
      <c r="N21" s="597">
        <v>18</v>
      </c>
      <c r="O21" s="597" t="s">
        <v>3836</v>
      </c>
      <c r="P21" s="597" t="s">
        <v>3461</v>
      </c>
      <c r="Q21" s="875" t="s">
        <v>3462</v>
      </c>
      <c r="R21" s="969"/>
      <c r="T21" s="597"/>
      <c r="U21" s="597"/>
    </row>
    <row r="22" spans="1:21" s="595" customFormat="1" ht="13.7" customHeight="1" x14ac:dyDescent="0.2">
      <c r="A22" s="876"/>
      <c r="B22" s="813"/>
      <c r="C22" s="680">
        <f t="shared" si="0"/>
        <v>11</v>
      </c>
      <c r="D22" s="595" t="s">
        <v>3468</v>
      </c>
      <c r="E22" s="597" t="s">
        <v>3460</v>
      </c>
      <c r="F22" s="597">
        <v>50</v>
      </c>
      <c r="G22" s="597">
        <v>60</v>
      </c>
      <c r="H22" s="597">
        <v>0.1</v>
      </c>
      <c r="I22" s="968">
        <v>21.3</v>
      </c>
      <c r="J22" s="968">
        <v>9</v>
      </c>
      <c r="K22" s="968">
        <v>18</v>
      </c>
      <c r="L22" s="968">
        <v>15</v>
      </c>
      <c r="M22" s="968">
        <v>5</v>
      </c>
      <c r="N22" s="597">
        <v>42</v>
      </c>
      <c r="O22" s="597" t="s">
        <v>3836</v>
      </c>
      <c r="P22" s="597" t="s">
        <v>3461</v>
      </c>
      <c r="Q22" s="875" t="s">
        <v>3462</v>
      </c>
      <c r="R22" s="969"/>
      <c r="T22" s="597"/>
      <c r="U22" s="597"/>
    </row>
    <row r="23" spans="1:21" s="595" customFormat="1" ht="13.7" customHeight="1" x14ac:dyDescent="0.2">
      <c r="A23" s="876"/>
      <c r="B23" s="813"/>
      <c r="C23" s="680">
        <f t="shared" si="0"/>
        <v>12</v>
      </c>
      <c r="D23" s="595" t="s">
        <v>4451</v>
      </c>
      <c r="E23" s="597" t="s">
        <v>3460</v>
      </c>
      <c r="F23" s="597">
        <v>55</v>
      </c>
      <c r="G23" s="597">
        <v>30</v>
      </c>
      <c r="H23" s="597">
        <v>0.1</v>
      </c>
      <c r="I23" s="968">
        <v>22.6</v>
      </c>
      <c r="J23" s="968">
        <v>6</v>
      </c>
      <c r="K23" s="968">
        <v>22</v>
      </c>
      <c r="L23" s="968">
        <v>22</v>
      </c>
      <c r="M23" s="968">
        <v>4</v>
      </c>
      <c r="N23" s="597">
        <v>20</v>
      </c>
      <c r="O23" s="597" t="s">
        <v>3836</v>
      </c>
      <c r="P23" s="597" t="s">
        <v>3461</v>
      </c>
      <c r="Q23" s="875" t="s">
        <v>3462</v>
      </c>
      <c r="R23" s="969"/>
      <c r="T23" s="597"/>
      <c r="U23" s="597"/>
    </row>
    <row r="24" spans="1:21" s="595" customFormat="1" ht="13.7" customHeight="1" x14ac:dyDescent="0.2">
      <c r="A24" s="876"/>
      <c r="B24" s="813"/>
      <c r="C24" s="680">
        <f t="shared" si="0"/>
        <v>13</v>
      </c>
      <c r="D24" s="1716" t="s">
        <v>4453</v>
      </c>
      <c r="E24" s="1717" t="s">
        <v>3460</v>
      </c>
      <c r="F24" s="597">
        <v>55</v>
      </c>
      <c r="G24" s="597">
        <v>30</v>
      </c>
      <c r="H24" s="597">
        <v>0.1</v>
      </c>
      <c r="I24" s="968">
        <v>21.9</v>
      </c>
      <c r="J24" s="968">
        <v>4</v>
      </c>
      <c r="K24" s="968">
        <v>14</v>
      </c>
      <c r="L24" s="968">
        <v>25</v>
      </c>
      <c r="M24" s="968">
        <v>4</v>
      </c>
      <c r="N24" s="597">
        <v>20</v>
      </c>
      <c r="O24" s="597" t="s">
        <v>3836</v>
      </c>
      <c r="P24" s="597" t="s">
        <v>3461</v>
      </c>
      <c r="Q24" s="875" t="s">
        <v>3462</v>
      </c>
      <c r="R24" s="969"/>
      <c r="T24" s="597"/>
      <c r="U24" s="597"/>
    </row>
    <row r="25" spans="1:21" s="595" customFormat="1" ht="13.7" customHeight="1" x14ac:dyDescent="0.2">
      <c r="A25" s="876"/>
      <c r="B25" s="813"/>
      <c r="C25" s="680">
        <f t="shared" si="0"/>
        <v>14</v>
      </c>
      <c r="D25" s="1716" t="s">
        <v>4452</v>
      </c>
      <c r="E25" s="1717" t="s">
        <v>3460</v>
      </c>
      <c r="F25" s="597">
        <v>55</v>
      </c>
      <c r="G25" s="597">
        <v>30</v>
      </c>
      <c r="H25" s="597">
        <v>0.1</v>
      </c>
      <c r="I25" s="968">
        <v>17.600000000000001</v>
      </c>
      <c r="J25" s="968">
        <v>4.7</v>
      </c>
      <c r="K25" s="968">
        <v>17</v>
      </c>
      <c r="L25" s="968">
        <v>16</v>
      </c>
      <c r="M25" s="968">
        <v>4</v>
      </c>
      <c r="N25" s="597">
        <v>20</v>
      </c>
      <c r="O25" s="597" t="s">
        <v>3836</v>
      </c>
      <c r="P25" s="597" t="s">
        <v>3461</v>
      </c>
      <c r="Q25" s="875" t="s">
        <v>3462</v>
      </c>
      <c r="R25" s="969"/>
      <c r="T25" s="597"/>
      <c r="U25" s="597"/>
    </row>
    <row r="26" spans="1:21" s="595" customFormat="1" ht="13.7" customHeight="1" x14ac:dyDescent="0.2">
      <c r="A26" s="876"/>
      <c r="B26" s="813"/>
      <c r="C26" s="680">
        <f t="shared" si="0"/>
        <v>15</v>
      </c>
      <c r="D26" s="1716" t="s">
        <v>4454</v>
      </c>
      <c r="E26" s="1717" t="s">
        <v>3460</v>
      </c>
      <c r="F26" s="597">
        <v>55</v>
      </c>
      <c r="G26" s="597">
        <v>30</v>
      </c>
      <c r="H26" s="597">
        <v>0.1</v>
      </c>
      <c r="I26" s="968">
        <v>16.7</v>
      </c>
      <c r="J26" s="968">
        <v>4.5999999999999996</v>
      </c>
      <c r="K26" s="968">
        <v>10</v>
      </c>
      <c r="L26" s="968">
        <v>16</v>
      </c>
      <c r="M26" s="968">
        <v>4</v>
      </c>
      <c r="N26" s="597">
        <v>20</v>
      </c>
      <c r="O26" s="597" t="s">
        <v>3836</v>
      </c>
      <c r="P26" s="597" t="s">
        <v>3461</v>
      </c>
      <c r="Q26" s="875" t="s">
        <v>3462</v>
      </c>
      <c r="R26" s="969"/>
      <c r="T26" s="597"/>
      <c r="U26" s="597"/>
    </row>
    <row r="27" spans="1:21" s="595" customFormat="1" ht="13.7" customHeight="1" x14ac:dyDescent="0.2">
      <c r="A27" s="876"/>
      <c r="B27" s="813"/>
      <c r="C27" s="680">
        <f t="shared" si="0"/>
        <v>16</v>
      </c>
      <c r="D27" s="1716" t="s">
        <v>4437</v>
      </c>
      <c r="E27" s="1717" t="s">
        <v>3460</v>
      </c>
      <c r="F27" s="1479"/>
      <c r="G27" s="1479"/>
      <c r="H27" s="597">
        <v>0.1</v>
      </c>
      <c r="I27" s="1480"/>
      <c r="J27" s="1480"/>
      <c r="K27" s="1480"/>
      <c r="L27" s="1480"/>
      <c r="M27" s="1480"/>
      <c r="N27" s="1479"/>
      <c r="O27" s="597" t="s">
        <v>3836</v>
      </c>
      <c r="P27" s="597" t="s">
        <v>3461</v>
      </c>
      <c r="Q27" s="875" t="s">
        <v>3462</v>
      </c>
      <c r="R27" s="969" t="str">
        <f t="shared" ref="R27:R28" si="1">IF(I27&gt;0,1,"Daten unvollständig")</f>
        <v>Daten unvollständig</v>
      </c>
      <c r="T27" s="597"/>
      <c r="U27" s="597"/>
    </row>
    <row r="28" spans="1:21" s="595" customFormat="1" ht="13.7" customHeight="1" x14ac:dyDescent="0.2">
      <c r="A28" s="876"/>
      <c r="B28" s="820"/>
      <c r="C28" s="680">
        <f t="shared" si="0"/>
        <v>17</v>
      </c>
      <c r="D28" s="1716" t="s">
        <v>4438</v>
      </c>
      <c r="E28" s="1717" t="s">
        <v>3460</v>
      </c>
      <c r="F28" s="1479"/>
      <c r="G28" s="1479"/>
      <c r="H28" s="597">
        <v>0.1</v>
      </c>
      <c r="I28" s="1480"/>
      <c r="J28" s="1480"/>
      <c r="K28" s="1480"/>
      <c r="L28" s="1480"/>
      <c r="M28" s="1480"/>
      <c r="N28" s="1479"/>
      <c r="O28" s="597" t="s">
        <v>3836</v>
      </c>
      <c r="P28" s="597" t="s">
        <v>3461</v>
      </c>
      <c r="Q28" s="875" t="s">
        <v>3462</v>
      </c>
      <c r="R28" s="969" t="str">
        <f t="shared" si="1"/>
        <v>Daten unvollständig</v>
      </c>
      <c r="T28" s="597"/>
      <c r="U28" s="597"/>
    </row>
    <row r="29" spans="1:21" s="595" customFormat="1" ht="13.7" customHeight="1" x14ac:dyDescent="0.2">
      <c r="A29" s="876"/>
      <c r="B29" s="820"/>
      <c r="C29" s="680">
        <f t="shared" si="0"/>
        <v>18</v>
      </c>
      <c r="D29" s="1716" t="s">
        <v>4631</v>
      </c>
      <c r="E29" s="1717" t="s">
        <v>3460</v>
      </c>
      <c r="F29" s="597">
        <v>7.5</v>
      </c>
      <c r="G29" s="597">
        <v>50</v>
      </c>
      <c r="H29" s="597">
        <v>0.1</v>
      </c>
      <c r="I29" s="968">
        <v>3</v>
      </c>
      <c r="J29" s="968">
        <v>1.7</v>
      </c>
      <c r="K29" s="968">
        <v>1.2</v>
      </c>
      <c r="L29" s="968">
        <v>4.7</v>
      </c>
      <c r="M29" s="968">
        <v>0.8</v>
      </c>
      <c r="N29" s="597">
        <v>2.2000000000000002</v>
      </c>
      <c r="O29" s="597" t="s">
        <v>3946</v>
      </c>
      <c r="P29" s="597" t="s">
        <v>3469</v>
      </c>
      <c r="Q29" s="875" t="s">
        <v>3470</v>
      </c>
      <c r="R29" s="969"/>
      <c r="T29" s="597"/>
      <c r="U29" s="597"/>
    </row>
    <row r="30" spans="1:21" s="595" customFormat="1" ht="13.7" customHeight="1" x14ac:dyDescent="0.2">
      <c r="A30" s="876"/>
      <c r="B30" s="820"/>
      <c r="C30" s="680">
        <f t="shared" si="0"/>
        <v>19</v>
      </c>
      <c r="D30" s="1716" t="s">
        <v>4632</v>
      </c>
      <c r="E30" s="1717" t="s">
        <v>3460</v>
      </c>
      <c r="F30" s="597">
        <v>10</v>
      </c>
      <c r="G30" s="597">
        <v>50</v>
      </c>
      <c r="H30" s="597">
        <v>0.1</v>
      </c>
      <c r="I30" s="968">
        <v>4</v>
      </c>
      <c r="J30" s="968">
        <v>2.2000000000000002</v>
      </c>
      <c r="K30" s="968">
        <v>1.6</v>
      </c>
      <c r="L30" s="968">
        <v>6.3</v>
      </c>
      <c r="M30" s="968">
        <v>1.07</v>
      </c>
      <c r="N30" s="597">
        <v>2.93</v>
      </c>
      <c r="O30" s="597" t="s">
        <v>3946</v>
      </c>
      <c r="P30" s="597" t="s">
        <v>3469</v>
      </c>
      <c r="Q30" s="875" t="s">
        <v>3470</v>
      </c>
      <c r="R30" s="969"/>
      <c r="T30" s="597"/>
      <c r="U30" s="597"/>
    </row>
    <row r="31" spans="1:21" s="595" customFormat="1" ht="13.7" customHeight="1" x14ac:dyDescent="0.2">
      <c r="A31" s="876"/>
      <c r="B31" s="820"/>
      <c r="C31" s="680">
        <f t="shared" si="0"/>
        <v>20</v>
      </c>
      <c r="D31" s="1716" t="s">
        <v>4633</v>
      </c>
      <c r="E31" s="1717" t="s">
        <v>3460</v>
      </c>
      <c r="F31" s="597">
        <v>7.5</v>
      </c>
      <c r="G31" s="597">
        <v>50</v>
      </c>
      <c r="H31" s="597">
        <v>0.1</v>
      </c>
      <c r="I31" s="968">
        <v>2.4</v>
      </c>
      <c r="J31" s="968">
        <v>1.3</v>
      </c>
      <c r="K31" s="968">
        <v>1</v>
      </c>
      <c r="L31" s="968">
        <v>4</v>
      </c>
      <c r="M31" s="968">
        <v>0.8</v>
      </c>
      <c r="N31" s="597">
        <v>2.2000000000000002</v>
      </c>
      <c r="O31" s="597" t="s">
        <v>3946</v>
      </c>
      <c r="P31" s="597" t="s">
        <v>3469</v>
      </c>
      <c r="Q31" s="875" t="s">
        <v>3470</v>
      </c>
      <c r="R31" s="969"/>
      <c r="T31" s="597"/>
      <c r="U31" s="597"/>
    </row>
    <row r="32" spans="1:21" s="595" customFormat="1" ht="13.7" customHeight="1" x14ac:dyDescent="0.2">
      <c r="A32" s="876"/>
      <c r="B32" s="820"/>
      <c r="C32" s="680">
        <f t="shared" si="0"/>
        <v>21</v>
      </c>
      <c r="D32" s="1716" t="s">
        <v>4634</v>
      </c>
      <c r="E32" s="1717" t="s">
        <v>3460</v>
      </c>
      <c r="F32" s="597">
        <v>10</v>
      </c>
      <c r="G32" s="597">
        <v>50</v>
      </c>
      <c r="H32" s="597">
        <v>0.1</v>
      </c>
      <c r="I32" s="968">
        <v>3.2</v>
      </c>
      <c r="J32" s="968">
        <v>1.8</v>
      </c>
      <c r="K32" s="968">
        <v>1.3</v>
      </c>
      <c r="L32" s="968">
        <v>5.3</v>
      </c>
      <c r="M32" s="968">
        <v>1.07</v>
      </c>
      <c r="N32" s="597">
        <v>2.93</v>
      </c>
      <c r="O32" s="597" t="s">
        <v>3946</v>
      </c>
      <c r="P32" s="597" t="s">
        <v>3469</v>
      </c>
      <c r="Q32" s="875" t="s">
        <v>3470</v>
      </c>
      <c r="R32" s="969"/>
      <c r="T32" s="597"/>
      <c r="U32" s="597"/>
    </row>
    <row r="33" spans="1:21" s="595" customFormat="1" ht="13.7" customHeight="1" x14ac:dyDescent="0.2">
      <c r="A33" s="876"/>
      <c r="B33" s="820"/>
      <c r="C33" s="680">
        <f t="shared" si="0"/>
        <v>22</v>
      </c>
      <c r="D33" s="1716" t="s">
        <v>4635</v>
      </c>
      <c r="E33" s="1717" t="s">
        <v>3460</v>
      </c>
      <c r="F33" s="597">
        <v>7.5</v>
      </c>
      <c r="G33" s="597">
        <v>50</v>
      </c>
      <c r="H33" s="597">
        <v>0.1</v>
      </c>
      <c r="I33" s="968">
        <v>3.4</v>
      </c>
      <c r="J33" s="968">
        <v>1.9</v>
      </c>
      <c r="K33" s="968">
        <v>1.4</v>
      </c>
      <c r="L33" s="968">
        <v>5.3</v>
      </c>
      <c r="M33" s="968">
        <v>0.7</v>
      </c>
      <c r="N33" s="597">
        <v>1.8</v>
      </c>
      <c r="O33" s="597" t="s">
        <v>3946</v>
      </c>
      <c r="P33" s="597" t="s">
        <v>3469</v>
      </c>
      <c r="Q33" s="875" t="s">
        <v>3470</v>
      </c>
      <c r="R33" s="969"/>
      <c r="T33" s="597"/>
      <c r="U33" s="597"/>
    </row>
    <row r="34" spans="1:21" s="595" customFormat="1" ht="13.7" customHeight="1" x14ac:dyDescent="0.2">
      <c r="A34" s="876"/>
      <c r="B34" s="820"/>
      <c r="C34" s="680">
        <f t="shared" si="0"/>
        <v>23</v>
      </c>
      <c r="D34" s="1716" t="s">
        <v>4636</v>
      </c>
      <c r="E34" s="1717" t="s">
        <v>3460</v>
      </c>
      <c r="F34" s="597">
        <v>10</v>
      </c>
      <c r="G34" s="597">
        <v>50</v>
      </c>
      <c r="H34" s="597">
        <v>0.1</v>
      </c>
      <c r="I34" s="968">
        <v>4.5</v>
      </c>
      <c r="J34" s="968">
        <v>2.5</v>
      </c>
      <c r="K34" s="968">
        <v>1.8</v>
      </c>
      <c r="L34" s="968">
        <v>7.1</v>
      </c>
      <c r="M34" s="968">
        <v>0.93</v>
      </c>
      <c r="N34" s="597">
        <v>2.4</v>
      </c>
      <c r="O34" s="597" t="s">
        <v>3946</v>
      </c>
      <c r="P34" s="597" t="s">
        <v>3469</v>
      </c>
      <c r="Q34" s="875" t="s">
        <v>3470</v>
      </c>
      <c r="R34" s="969"/>
      <c r="T34" s="597"/>
      <c r="U34" s="597"/>
    </row>
    <row r="35" spans="1:21" s="595" customFormat="1" ht="13.7" customHeight="1" x14ac:dyDescent="0.2">
      <c r="A35" s="876"/>
      <c r="B35" s="820"/>
      <c r="C35" s="680">
        <f t="shared" si="0"/>
        <v>24</v>
      </c>
      <c r="D35" s="1716" t="s">
        <v>4637</v>
      </c>
      <c r="E35" s="1717" t="s">
        <v>3460</v>
      </c>
      <c r="F35" s="597">
        <v>7.5</v>
      </c>
      <c r="G35" s="597">
        <v>50</v>
      </c>
      <c r="H35" s="597">
        <v>0.1</v>
      </c>
      <c r="I35" s="968">
        <v>3</v>
      </c>
      <c r="J35" s="968">
        <v>1.7</v>
      </c>
      <c r="K35" s="968">
        <v>1.3</v>
      </c>
      <c r="L35" s="968">
        <v>4.3</v>
      </c>
      <c r="M35" s="968">
        <v>0.7</v>
      </c>
      <c r="N35" s="597">
        <v>1.8</v>
      </c>
      <c r="O35" s="597" t="s">
        <v>3946</v>
      </c>
      <c r="P35" s="597" t="s">
        <v>3469</v>
      </c>
      <c r="Q35" s="875" t="s">
        <v>3470</v>
      </c>
      <c r="R35" s="969"/>
      <c r="T35" s="597"/>
      <c r="U35" s="597"/>
    </row>
    <row r="36" spans="1:21" s="595" customFormat="1" ht="13.7" customHeight="1" x14ac:dyDescent="0.2">
      <c r="A36" s="876"/>
      <c r="B36" s="820"/>
      <c r="C36" s="680">
        <f t="shared" si="0"/>
        <v>25</v>
      </c>
      <c r="D36" s="1716" t="s">
        <v>4638</v>
      </c>
      <c r="E36" s="1717" t="s">
        <v>3460</v>
      </c>
      <c r="F36" s="597">
        <v>10</v>
      </c>
      <c r="G36" s="597">
        <v>50</v>
      </c>
      <c r="H36" s="597">
        <v>0.1</v>
      </c>
      <c r="I36" s="968">
        <v>4.0999999999999996</v>
      </c>
      <c r="J36" s="968">
        <v>2.2999999999999998</v>
      </c>
      <c r="K36" s="968">
        <v>1.7</v>
      </c>
      <c r="L36" s="968">
        <v>5.8</v>
      </c>
      <c r="M36" s="968">
        <v>0.93</v>
      </c>
      <c r="N36" s="597">
        <v>2.4</v>
      </c>
      <c r="O36" s="597" t="s">
        <v>3946</v>
      </c>
      <c r="P36" s="597" t="s">
        <v>3469</v>
      </c>
      <c r="Q36" s="875" t="s">
        <v>3470</v>
      </c>
      <c r="R36" s="969"/>
      <c r="T36" s="597"/>
      <c r="U36" s="597"/>
    </row>
    <row r="37" spans="1:21" s="595" customFormat="1" ht="13.7" customHeight="1" x14ac:dyDescent="0.2">
      <c r="A37" s="876"/>
      <c r="B37" s="820"/>
      <c r="C37" s="680">
        <f t="shared" si="0"/>
        <v>26</v>
      </c>
      <c r="D37" s="1716" t="s">
        <v>4639</v>
      </c>
      <c r="E37" s="1717" t="s">
        <v>3460</v>
      </c>
      <c r="F37" s="597">
        <v>7.5</v>
      </c>
      <c r="G37" s="597">
        <v>50</v>
      </c>
      <c r="H37" s="597">
        <v>0.1</v>
      </c>
      <c r="I37" s="968">
        <v>3.6</v>
      </c>
      <c r="J37" s="968">
        <v>2</v>
      </c>
      <c r="K37" s="968">
        <v>1.5</v>
      </c>
      <c r="L37" s="968">
        <v>3.7</v>
      </c>
      <c r="M37" s="968">
        <v>0.7</v>
      </c>
      <c r="N37" s="597">
        <v>1.8</v>
      </c>
      <c r="O37" s="597" t="s">
        <v>3946</v>
      </c>
      <c r="P37" s="597" t="s">
        <v>3469</v>
      </c>
      <c r="Q37" s="875" t="s">
        <v>3470</v>
      </c>
      <c r="R37" s="969"/>
      <c r="T37" s="597"/>
      <c r="U37" s="597"/>
    </row>
    <row r="38" spans="1:21" s="595" customFormat="1" ht="13.7" customHeight="1" x14ac:dyDescent="0.2">
      <c r="A38" s="876"/>
      <c r="B38" s="820"/>
      <c r="C38" s="680">
        <f t="shared" si="0"/>
        <v>27</v>
      </c>
      <c r="D38" s="1716" t="s">
        <v>4640</v>
      </c>
      <c r="E38" s="1717" t="s">
        <v>3460</v>
      </c>
      <c r="F38" s="597">
        <v>10</v>
      </c>
      <c r="G38" s="597">
        <v>50</v>
      </c>
      <c r="H38" s="597">
        <v>0.1</v>
      </c>
      <c r="I38" s="968">
        <v>4.7</v>
      </c>
      <c r="J38" s="968">
        <v>2.6</v>
      </c>
      <c r="K38" s="968">
        <v>2.1</v>
      </c>
      <c r="L38" s="968">
        <v>4.9000000000000004</v>
      </c>
      <c r="M38" s="968">
        <v>0.93</v>
      </c>
      <c r="N38" s="597">
        <v>2.4</v>
      </c>
      <c r="O38" s="597" t="s">
        <v>3946</v>
      </c>
      <c r="P38" s="597" t="s">
        <v>3469</v>
      </c>
      <c r="Q38" s="875" t="s">
        <v>3470</v>
      </c>
      <c r="R38" s="969"/>
      <c r="T38" s="597"/>
      <c r="U38" s="597"/>
    </row>
    <row r="39" spans="1:21" s="595" customFormat="1" ht="13.7" customHeight="1" x14ac:dyDescent="0.2">
      <c r="A39" s="876"/>
      <c r="B39" s="820"/>
      <c r="C39" s="680">
        <f t="shared" si="0"/>
        <v>28</v>
      </c>
      <c r="D39" s="1716" t="s">
        <v>4641</v>
      </c>
      <c r="E39" s="1717" t="s">
        <v>3460</v>
      </c>
      <c r="F39" s="597">
        <v>5</v>
      </c>
      <c r="G39" s="597">
        <v>60</v>
      </c>
      <c r="H39" s="597">
        <v>0.1</v>
      </c>
      <c r="I39" s="968">
        <v>3.7</v>
      </c>
      <c r="J39" s="968">
        <v>2.6</v>
      </c>
      <c r="K39" s="968">
        <v>2.4</v>
      </c>
      <c r="L39" s="968">
        <v>2.5</v>
      </c>
      <c r="M39" s="968">
        <v>0.67</v>
      </c>
      <c r="N39" s="597">
        <v>1.87</v>
      </c>
      <c r="O39" s="597" t="s">
        <v>3946</v>
      </c>
      <c r="P39" s="597" t="s">
        <v>3469</v>
      </c>
      <c r="Q39" s="875" t="s">
        <v>3470</v>
      </c>
      <c r="R39" s="969"/>
      <c r="T39" s="597"/>
      <c r="U39" s="597"/>
    </row>
    <row r="40" spans="1:21" s="595" customFormat="1" ht="13.7" customHeight="1" x14ac:dyDescent="0.2">
      <c r="A40" s="876"/>
      <c r="B40" s="820"/>
      <c r="C40" s="680">
        <f t="shared" si="0"/>
        <v>29</v>
      </c>
      <c r="D40" s="1716" t="s">
        <v>4642</v>
      </c>
      <c r="E40" s="1717" t="s">
        <v>3460</v>
      </c>
      <c r="F40" s="597">
        <v>7.5</v>
      </c>
      <c r="G40" s="597">
        <v>60</v>
      </c>
      <c r="H40" s="597">
        <v>0.1</v>
      </c>
      <c r="I40" s="968">
        <v>5.6</v>
      </c>
      <c r="J40" s="968">
        <v>3.9</v>
      </c>
      <c r="K40" s="968">
        <v>3.7</v>
      </c>
      <c r="L40" s="968">
        <v>3.7</v>
      </c>
      <c r="M40" s="968">
        <v>1</v>
      </c>
      <c r="N40" s="597">
        <v>2.8</v>
      </c>
      <c r="O40" s="597" t="s">
        <v>3946</v>
      </c>
      <c r="P40" s="597" t="s">
        <v>3469</v>
      </c>
      <c r="Q40" s="875" t="s">
        <v>3470</v>
      </c>
      <c r="R40" s="969"/>
      <c r="T40" s="597"/>
      <c r="U40" s="597"/>
    </row>
    <row r="41" spans="1:21" s="595" customFormat="1" ht="13.7" customHeight="1" x14ac:dyDescent="0.2">
      <c r="A41" s="876"/>
      <c r="B41" s="820"/>
      <c r="C41" s="680">
        <f t="shared" si="0"/>
        <v>30</v>
      </c>
      <c r="D41" s="1716" t="s">
        <v>4643</v>
      </c>
      <c r="E41" s="1717" t="s">
        <v>3460</v>
      </c>
      <c r="F41" s="597">
        <v>5</v>
      </c>
      <c r="G41" s="597">
        <v>60</v>
      </c>
      <c r="H41" s="597">
        <v>0.1</v>
      </c>
      <c r="I41" s="968">
        <v>3.3</v>
      </c>
      <c r="J41" s="968">
        <v>2.2999999999999998</v>
      </c>
      <c r="K41" s="968">
        <v>2</v>
      </c>
      <c r="L41" s="968">
        <v>2.4</v>
      </c>
      <c r="M41" s="968">
        <v>0.67</v>
      </c>
      <c r="N41" s="597">
        <v>1.87</v>
      </c>
      <c r="O41" s="597" t="s">
        <v>3946</v>
      </c>
      <c r="P41" s="597" t="s">
        <v>3469</v>
      </c>
      <c r="Q41" s="875" t="s">
        <v>3470</v>
      </c>
      <c r="R41" s="969"/>
      <c r="T41" s="597"/>
      <c r="U41" s="597"/>
    </row>
    <row r="42" spans="1:21" s="595" customFormat="1" ht="13.7" customHeight="1" x14ac:dyDescent="0.2">
      <c r="A42" s="876"/>
      <c r="B42" s="820"/>
      <c r="C42" s="680">
        <f t="shared" si="0"/>
        <v>31</v>
      </c>
      <c r="D42" s="1716" t="s">
        <v>4644</v>
      </c>
      <c r="E42" s="1717" t="s">
        <v>3460</v>
      </c>
      <c r="F42" s="597">
        <v>7.5</v>
      </c>
      <c r="G42" s="597">
        <v>60</v>
      </c>
      <c r="H42" s="597">
        <v>0.1</v>
      </c>
      <c r="I42" s="968">
        <v>4.9000000000000004</v>
      </c>
      <c r="J42" s="968">
        <v>3.4</v>
      </c>
      <c r="K42" s="968">
        <v>3</v>
      </c>
      <c r="L42" s="968">
        <v>3.6</v>
      </c>
      <c r="M42" s="968">
        <v>1</v>
      </c>
      <c r="N42" s="597">
        <v>2.8</v>
      </c>
      <c r="O42" s="597" t="s">
        <v>3946</v>
      </c>
      <c r="P42" s="597" t="s">
        <v>3469</v>
      </c>
      <c r="Q42" s="875" t="s">
        <v>3470</v>
      </c>
      <c r="R42" s="969"/>
      <c r="T42" s="597"/>
      <c r="U42" s="597"/>
    </row>
    <row r="43" spans="1:21" s="595" customFormat="1" ht="13.7" customHeight="1" x14ac:dyDescent="0.2">
      <c r="A43" s="876"/>
      <c r="B43" s="820"/>
      <c r="C43" s="680">
        <f t="shared" si="0"/>
        <v>32</v>
      </c>
      <c r="D43" s="1716" t="s">
        <v>4645</v>
      </c>
      <c r="E43" s="1717" t="s">
        <v>3460</v>
      </c>
      <c r="F43" s="597">
        <v>5</v>
      </c>
      <c r="G43" s="597">
        <v>60</v>
      </c>
      <c r="H43" s="597">
        <v>0.1</v>
      </c>
      <c r="I43" s="968">
        <v>5.2</v>
      </c>
      <c r="J43" s="968">
        <v>3.6</v>
      </c>
      <c r="K43" s="968">
        <v>3.8</v>
      </c>
      <c r="L43" s="968">
        <v>3.6</v>
      </c>
      <c r="M43" s="968">
        <v>0.67</v>
      </c>
      <c r="N43" s="597">
        <v>1.87</v>
      </c>
      <c r="O43" s="597" t="s">
        <v>3946</v>
      </c>
      <c r="P43" s="597" t="s">
        <v>3469</v>
      </c>
      <c r="Q43" s="875" t="s">
        <v>3470</v>
      </c>
      <c r="R43" s="969"/>
      <c r="T43" s="597"/>
      <c r="U43" s="597"/>
    </row>
    <row r="44" spans="1:21" s="595" customFormat="1" ht="13.7" customHeight="1" x14ac:dyDescent="0.2">
      <c r="A44" s="876"/>
      <c r="B44" s="820"/>
      <c r="C44" s="680">
        <f t="shared" si="0"/>
        <v>33</v>
      </c>
      <c r="D44" s="1716" t="s">
        <v>4646</v>
      </c>
      <c r="E44" s="1717" t="s">
        <v>3460</v>
      </c>
      <c r="F44" s="597">
        <v>7.5</v>
      </c>
      <c r="G44" s="597">
        <v>60</v>
      </c>
      <c r="H44" s="597">
        <v>0.1</v>
      </c>
      <c r="I44" s="968">
        <v>7.9</v>
      </c>
      <c r="J44" s="968">
        <v>5.5</v>
      </c>
      <c r="K44" s="968">
        <v>5.7</v>
      </c>
      <c r="L44" s="968">
        <v>5.4</v>
      </c>
      <c r="M44" s="968">
        <v>1</v>
      </c>
      <c r="N44" s="597">
        <v>2.8</v>
      </c>
      <c r="O44" s="597" t="s">
        <v>3946</v>
      </c>
      <c r="P44" s="597" t="s">
        <v>3469</v>
      </c>
      <c r="Q44" s="875" t="s">
        <v>3470</v>
      </c>
      <c r="R44" s="969"/>
      <c r="T44" s="597"/>
      <c r="U44" s="597"/>
    </row>
    <row r="45" spans="1:21" s="595" customFormat="1" ht="13.7" customHeight="1" x14ac:dyDescent="0.2">
      <c r="A45" s="876"/>
      <c r="B45" s="820"/>
      <c r="C45" s="680">
        <f t="shared" si="0"/>
        <v>34</v>
      </c>
      <c r="D45" s="1716" t="s">
        <v>4647</v>
      </c>
      <c r="E45" s="1717" t="s">
        <v>3460</v>
      </c>
      <c r="F45" s="597">
        <v>5</v>
      </c>
      <c r="G45" s="597">
        <v>60</v>
      </c>
      <c r="H45" s="597">
        <v>0.1</v>
      </c>
      <c r="I45" s="968">
        <v>4.4000000000000004</v>
      </c>
      <c r="J45" s="968">
        <v>3.1</v>
      </c>
      <c r="K45" s="968">
        <v>2.8</v>
      </c>
      <c r="L45" s="968">
        <v>2.9</v>
      </c>
      <c r="M45" s="968">
        <v>0.67</v>
      </c>
      <c r="N45" s="597">
        <v>1.87</v>
      </c>
      <c r="O45" s="597" t="s">
        <v>3946</v>
      </c>
      <c r="P45" s="597" t="s">
        <v>3469</v>
      </c>
      <c r="Q45" s="875" t="s">
        <v>3470</v>
      </c>
      <c r="R45" s="969"/>
      <c r="T45" s="597"/>
      <c r="U45" s="597"/>
    </row>
    <row r="46" spans="1:21" s="595" customFormat="1" ht="13.7" customHeight="1" x14ac:dyDescent="0.2">
      <c r="A46" s="876"/>
      <c r="B46" s="820"/>
      <c r="C46" s="680">
        <f t="shared" si="0"/>
        <v>35</v>
      </c>
      <c r="D46" s="1716" t="s">
        <v>4648</v>
      </c>
      <c r="E46" s="1717" t="s">
        <v>3460</v>
      </c>
      <c r="F46" s="597">
        <v>7.5</v>
      </c>
      <c r="G46" s="597">
        <v>60</v>
      </c>
      <c r="H46" s="597">
        <v>0.1</v>
      </c>
      <c r="I46" s="968">
        <v>6.7</v>
      </c>
      <c r="J46" s="968">
        <v>4.7</v>
      </c>
      <c r="K46" s="968">
        <v>4.2</v>
      </c>
      <c r="L46" s="968">
        <v>4.4000000000000004</v>
      </c>
      <c r="M46" s="968">
        <v>1</v>
      </c>
      <c r="N46" s="597">
        <v>2.8</v>
      </c>
      <c r="O46" s="597" t="s">
        <v>3946</v>
      </c>
      <c r="P46" s="597" t="s">
        <v>3469</v>
      </c>
      <c r="Q46" s="875" t="s">
        <v>3470</v>
      </c>
      <c r="R46" s="969"/>
      <c r="T46" s="597"/>
      <c r="U46" s="597"/>
    </row>
    <row r="47" spans="1:21" s="595" customFormat="1" ht="13.7" customHeight="1" x14ac:dyDescent="0.2">
      <c r="A47" s="876"/>
      <c r="B47" s="820"/>
      <c r="C47" s="680">
        <f t="shared" si="0"/>
        <v>36</v>
      </c>
      <c r="D47" s="1716" t="s">
        <v>3471</v>
      </c>
      <c r="E47" s="1717" t="s">
        <v>3460</v>
      </c>
      <c r="F47" s="597">
        <v>1.5</v>
      </c>
      <c r="G47" s="597">
        <v>90</v>
      </c>
      <c r="H47" s="597">
        <v>0.1</v>
      </c>
      <c r="I47" s="968">
        <v>3.1</v>
      </c>
      <c r="J47" s="968">
        <v>2.8</v>
      </c>
      <c r="K47" s="968">
        <v>0.3</v>
      </c>
      <c r="L47" s="968">
        <v>9.1</v>
      </c>
      <c r="M47" s="968">
        <v>0.5</v>
      </c>
      <c r="N47" s="1051"/>
      <c r="O47" s="597" t="s">
        <v>3946</v>
      </c>
      <c r="P47" s="597" t="s">
        <v>3469</v>
      </c>
      <c r="Q47" s="875" t="s">
        <v>3470</v>
      </c>
      <c r="R47" s="969"/>
      <c r="T47" s="597"/>
      <c r="U47" s="597"/>
    </row>
    <row r="48" spans="1:21" s="595" customFormat="1" ht="13.7" customHeight="1" x14ac:dyDescent="0.2">
      <c r="A48" s="876"/>
      <c r="B48" s="820"/>
      <c r="C48" s="680">
        <f t="shared" si="0"/>
        <v>37</v>
      </c>
      <c r="D48" s="1716" t="s">
        <v>4628</v>
      </c>
      <c r="E48" s="1717" t="s">
        <v>3460</v>
      </c>
      <c r="F48" s="597">
        <v>1.5</v>
      </c>
      <c r="G48" s="597">
        <v>90</v>
      </c>
      <c r="H48" s="597">
        <v>0.1</v>
      </c>
      <c r="I48" s="968">
        <v>2.6</v>
      </c>
      <c r="J48" s="968">
        <v>2.5</v>
      </c>
      <c r="K48" s="968">
        <v>0.5</v>
      </c>
      <c r="L48" s="968">
        <v>4.8</v>
      </c>
      <c r="M48" s="968">
        <v>0.2</v>
      </c>
      <c r="N48" s="1051"/>
      <c r="O48" s="597" t="s">
        <v>3946</v>
      </c>
      <c r="P48" s="597" t="s">
        <v>3469</v>
      </c>
      <c r="Q48" s="875" t="s">
        <v>3470</v>
      </c>
      <c r="R48" s="969"/>
      <c r="T48" s="597"/>
      <c r="U48" s="597"/>
    </row>
    <row r="49" spans="1:21" s="595" customFormat="1" ht="13.7" customHeight="1" x14ac:dyDescent="0.2">
      <c r="A49" s="876"/>
      <c r="B49" s="820"/>
      <c r="C49" s="680">
        <f t="shared" si="0"/>
        <v>38</v>
      </c>
      <c r="D49" s="1716" t="s">
        <v>4629</v>
      </c>
      <c r="E49" s="1717" t="s">
        <v>3460</v>
      </c>
      <c r="F49" s="1479"/>
      <c r="G49" s="597">
        <v>50</v>
      </c>
      <c r="H49" s="597">
        <v>0.1</v>
      </c>
      <c r="I49" s="1480"/>
      <c r="J49" s="1480"/>
      <c r="K49" s="1480"/>
      <c r="L49" s="1480"/>
      <c r="M49" s="1480"/>
      <c r="N49" s="1479"/>
      <c r="O49" s="597" t="s">
        <v>3946</v>
      </c>
      <c r="P49" s="597" t="s">
        <v>3469</v>
      </c>
      <c r="Q49" s="875" t="s">
        <v>3470</v>
      </c>
      <c r="R49" s="969" t="str">
        <f>IF(I49&gt;0,1,"Daten unvollständig")</f>
        <v>Daten unvollständig</v>
      </c>
      <c r="T49" s="597"/>
      <c r="U49" s="597"/>
    </row>
    <row r="50" spans="1:21" s="599" customFormat="1" ht="13.7" customHeight="1" x14ac:dyDescent="0.2">
      <c r="A50" s="929"/>
      <c r="B50" s="948"/>
      <c r="C50" s="949">
        <f t="shared" si="0"/>
        <v>39</v>
      </c>
      <c r="D50" s="1716" t="s">
        <v>4630</v>
      </c>
      <c r="E50" s="1717" t="s">
        <v>3460</v>
      </c>
      <c r="F50" s="1479"/>
      <c r="G50" s="1114">
        <v>30</v>
      </c>
      <c r="H50" s="1114">
        <v>0.1</v>
      </c>
      <c r="I50" s="1480"/>
      <c r="J50" s="1480"/>
      <c r="K50" s="1480"/>
      <c r="L50" s="1480"/>
      <c r="M50" s="1480"/>
      <c r="N50" s="1479"/>
      <c r="O50" s="1114" t="s">
        <v>3836</v>
      </c>
      <c r="P50" s="1114" t="s">
        <v>3461</v>
      </c>
      <c r="Q50" s="1112" t="s">
        <v>3462</v>
      </c>
      <c r="R50" s="969" t="str">
        <f t="shared" ref="R50:R53" si="2">IF(I50&gt;0,1,"Daten unvollständig")</f>
        <v>Daten unvollständig</v>
      </c>
      <c r="S50" s="1481" t="s">
        <v>4419</v>
      </c>
      <c r="T50" s="1114"/>
      <c r="U50" s="1114"/>
    </row>
    <row r="51" spans="1:21" s="595" customFormat="1" ht="13.7" customHeight="1" x14ac:dyDescent="0.2">
      <c r="A51" s="876"/>
      <c r="B51" s="813"/>
      <c r="C51" s="680">
        <f t="shared" si="0"/>
        <v>40</v>
      </c>
      <c r="D51" s="1716" t="s">
        <v>3472</v>
      </c>
      <c r="E51" s="1717" t="s">
        <v>3460</v>
      </c>
      <c r="F51" s="1479"/>
      <c r="G51" s="597">
        <v>30</v>
      </c>
      <c r="H51" s="597">
        <v>0.1</v>
      </c>
      <c r="I51" s="1480"/>
      <c r="J51" s="1480"/>
      <c r="K51" s="1480"/>
      <c r="L51" s="1480"/>
      <c r="M51" s="1480"/>
      <c r="N51" s="1479"/>
      <c r="O51" s="597" t="s">
        <v>3946</v>
      </c>
      <c r="P51" s="597" t="s">
        <v>3469</v>
      </c>
      <c r="Q51" s="875" t="s">
        <v>3470</v>
      </c>
      <c r="R51" s="969" t="str">
        <f t="shared" si="2"/>
        <v>Daten unvollständig</v>
      </c>
      <c r="T51" s="597"/>
      <c r="U51" s="597"/>
    </row>
    <row r="52" spans="1:21" s="595" customFormat="1" ht="13.7" customHeight="1" x14ac:dyDescent="0.2">
      <c r="A52" s="876"/>
      <c r="B52" s="813"/>
      <c r="C52" s="680">
        <f t="shared" si="0"/>
        <v>41</v>
      </c>
      <c r="D52" s="1716" t="s">
        <v>3473</v>
      </c>
      <c r="E52" s="1717" t="s">
        <v>3460</v>
      </c>
      <c r="F52" s="1479"/>
      <c r="G52" s="597">
        <v>25</v>
      </c>
      <c r="H52" s="597">
        <v>0.1</v>
      </c>
      <c r="I52" s="1480"/>
      <c r="J52" s="1480"/>
      <c r="K52" s="1480"/>
      <c r="L52" s="1480"/>
      <c r="M52" s="1480"/>
      <c r="N52" s="1479"/>
      <c r="O52" s="597" t="s">
        <v>3836</v>
      </c>
      <c r="P52" s="597" t="s">
        <v>3461</v>
      </c>
      <c r="Q52" s="875" t="s">
        <v>3462</v>
      </c>
      <c r="R52" s="969" t="str">
        <f t="shared" si="2"/>
        <v>Daten unvollständig</v>
      </c>
      <c r="T52" s="597"/>
      <c r="U52" s="597"/>
    </row>
    <row r="53" spans="1:21" s="595" customFormat="1" ht="13.7" customHeight="1" x14ac:dyDescent="0.2">
      <c r="A53" s="876"/>
      <c r="B53" s="813"/>
      <c r="C53" s="680">
        <f t="shared" si="0"/>
        <v>42</v>
      </c>
      <c r="D53" s="1716" t="s">
        <v>4436</v>
      </c>
      <c r="E53" s="1717" t="s">
        <v>3460</v>
      </c>
      <c r="F53" s="1479"/>
      <c r="G53" s="1479"/>
      <c r="H53" s="597">
        <v>0.1</v>
      </c>
      <c r="I53" s="1480"/>
      <c r="J53" s="1480"/>
      <c r="K53" s="1480"/>
      <c r="L53" s="1480"/>
      <c r="M53" s="1480"/>
      <c r="N53" s="1479"/>
      <c r="O53" s="597" t="s">
        <v>3946</v>
      </c>
      <c r="P53" s="597" t="s">
        <v>3469</v>
      </c>
      <c r="Q53" s="875" t="s">
        <v>3470</v>
      </c>
      <c r="R53" s="969" t="str">
        <f t="shared" si="2"/>
        <v>Daten unvollständig</v>
      </c>
      <c r="T53" s="597"/>
      <c r="U53" s="597"/>
    </row>
    <row r="54" spans="1:21" s="595" customFormat="1" ht="13.7" customHeight="1" x14ac:dyDescent="0.2">
      <c r="A54" s="876"/>
      <c r="B54" s="813"/>
      <c r="C54" s="680">
        <f t="shared" si="0"/>
        <v>43</v>
      </c>
      <c r="D54" s="1716" t="s">
        <v>3476</v>
      </c>
      <c r="E54" s="1717" t="s">
        <v>3477</v>
      </c>
      <c r="F54" s="1051"/>
      <c r="G54" s="597">
        <v>50</v>
      </c>
      <c r="H54" s="597">
        <v>0.1</v>
      </c>
      <c r="I54" s="968">
        <v>120</v>
      </c>
      <c r="J54" s="1482"/>
      <c r="K54" s="968">
        <v>0</v>
      </c>
      <c r="L54" s="968">
        <v>0</v>
      </c>
      <c r="M54" s="968">
        <v>0</v>
      </c>
      <c r="N54" s="1051"/>
      <c r="O54" s="597" t="s">
        <v>3836</v>
      </c>
      <c r="P54" s="597" t="s">
        <v>3461</v>
      </c>
      <c r="Q54" s="875" t="s">
        <v>3462</v>
      </c>
      <c r="R54" s="969"/>
    </row>
    <row r="55" spans="1:21" s="595" customFormat="1" ht="13.7" customHeight="1" x14ac:dyDescent="0.2">
      <c r="A55" s="876"/>
      <c r="B55" s="813"/>
      <c r="C55" s="680">
        <f t="shared" si="0"/>
        <v>44</v>
      </c>
      <c r="D55" s="1716" t="s">
        <v>3480</v>
      </c>
      <c r="E55" s="1717" t="s">
        <v>3477</v>
      </c>
      <c r="F55" s="1051"/>
      <c r="G55" s="597">
        <v>50</v>
      </c>
      <c r="H55" s="597">
        <v>0.1</v>
      </c>
      <c r="I55" s="968">
        <v>120</v>
      </c>
      <c r="J55" s="1482"/>
      <c r="K55" s="968">
        <v>0</v>
      </c>
      <c r="L55" s="968">
        <v>0</v>
      </c>
      <c r="M55" s="968">
        <v>0</v>
      </c>
      <c r="N55" s="1051"/>
      <c r="O55" s="597" t="s">
        <v>3836</v>
      </c>
      <c r="P55" s="597" t="s">
        <v>3461</v>
      </c>
      <c r="Q55" s="875" t="s">
        <v>3462</v>
      </c>
      <c r="R55" s="969"/>
    </row>
    <row r="56" spans="1:21" s="595" customFormat="1" ht="13.7" customHeight="1" x14ac:dyDescent="0.2">
      <c r="A56" s="876"/>
      <c r="B56" s="813"/>
      <c r="C56" s="680">
        <f t="shared" si="0"/>
        <v>45</v>
      </c>
      <c r="D56" s="1716" t="s">
        <v>4757</v>
      </c>
      <c r="E56" s="1717" t="s">
        <v>3477</v>
      </c>
      <c r="F56" s="597">
        <v>89.6</v>
      </c>
      <c r="G56" s="597">
        <v>50</v>
      </c>
      <c r="H56" s="597">
        <v>0.1</v>
      </c>
      <c r="I56" s="968">
        <v>149</v>
      </c>
      <c r="J56" s="968">
        <v>4.6999999999999993</v>
      </c>
      <c r="K56" s="968">
        <v>7.1</v>
      </c>
      <c r="L56" s="968">
        <v>2.9</v>
      </c>
      <c r="M56" s="968">
        <v>1.5</v>
      </c>
      <c r="N56" s="1051"/>
      <c r="O56" s="597" t="s">
        <v>3836</v>
      </c>
      <c r="P56" s="597" t="s">
        <v>3461</v>
      </c>
      <c r="Q56" s="875" t="s">
        <v>3462</v>
      </c>
      <c r="R56" s="969"/>
      <c r="T56" s="597"/>
      <c r="U56" s="597"/>
    </row>
    <row r="57" spans="1:21" s="595" customFormat="1" ht="13.7" customHeight="1" x14ac:dyDescent="0.2">
      <c r="A57" s="876"/>
      <c r="B57" s="813"/>
      <c r="C57" s="680">
        <f t="shared" si="0"/>
        <v>46</v>
      </c>
      <c r="D57" s="1716" t="s">
        <v>4758</v>
      </c>
      <c r="E57" s="1717" t="s">
        <v>3477</v>
      </c>
      <c r="F57" s="597">
        <v>94.2</v>
      </c>
      <c r="G57" s="597">
        <v>50</v>
      </c>
      <c r="H57" s="597">
        <v>0.1</v>
      </c>
      <c r="I57" s="968">
        <v>141</v>
      </c>
      <c r="J57" s="968">
        <v>5.0999999999999996</v>
      </c>
      <c r="K57" s="968">
        <v>8.9</v>
      </c>
      <c r="L57" s="968">
        <v>2.4</v>
      </c>
      <c r="M57" s="968">
        <v>1.3</v>
      </c>
      <c r="N57" s="1051"/>
      <c r="O57" s="597" t="s">
        <v>3836</v>
      </c>
      <c r="P57" s="597" t="s">
        <v>3461</v>
      </c>
      <c r="Q57" s="875" t="s">
        <v>3462</v>
      </c>
      <c r="R57" s="969"/>
      <c r="T57" s="597"/>
      <c r="U57" s="597"/>
    </row>
    <row r="58" spans="1:21" s="595" customFormat="1" ht="13.7" customHeight="1" x14ac:dyDescent="0.2">
      <c r="A58" s="876"/>
      <c r="B58" s="813"/>
      <c r="C58" s="680">
        <f t="shared" si="0"/>
        <v>47</v>
      </c>
      <c r="D58" s="1716" t="s">
        <v>4759</v>
      </c>
      <c r="E58" s="1717" t="s">
        <v>3477</v>
      </c>
      <c r="F58" s="597">
        <v>87.1</v>
      </c>
      <c r="G58" s="597">
        <v>35</v>
      </c>
      <c r="H58" s="597">
        <v>0.1</v>
      </c>
      <c r="I58" s="968">
        <v>45.4</v>
      </c>
      <c r="J58" s="968">
        <v>0</v>
      </c>
      <c r="K58" s="968">
        <v>14.9</v>
      </c>
      <c r="L58" s="968">
        <v>16.7</v>
      </c>
      <c r="M58" s="968">
        <v>3.2</v>
      </c>
      <c r="N58" s="1051"/>
      <c r="O58" s="597" t="s">
        <v>3836</v>
      </c>
      <c r="P58" s="597" t="s">
        <v>3461</v>
      </c>
      <c r="Q58" s="875" t="s">
        <v>3462</v>
      </c>
      <c r="R58" s="969"/>
      <c r="T58" s="597"/>
      <c r="U58" s="597"/>
    </row>
    <row r="59" spans="1:21" s="595" customFormat="1" ht="13.7" customHeight="1" x14ac:dyDescent="0.2">
      <c r="A59" s="876"/>
      <c r="B59" s="813"/>
      <c r="C59" s="680">
        <f t="shared" si="0"/>
        <v>48</v>
      </c>
      <c r="D59" s="1716" t="s">
        <v>4760</v>
      </c>
      <c r="E59" s="1717" t="s">
        <v>3477</v>
      </c>
      <c r="F59" s="597">
        <v>86.5</v>
      </c>
      <c r="G59" s="597">
        <v>35</v>
      </c>
      <c r="H59" s="597">
        <v>0.1</v>
      </c>
      <c r="I59" s="968">
        <v>39.6</v>
      </c>
      <c r="J59" s="968">
        <v>0</v>
      </c>
      <c r="K59" s="968">
        <v>11.200000000000001</v>
      </c>
      <c r="L59" s="968">
        <v>14.2</v>
      </c>
      <c r="M59" s="968">
        <v>2.2000000000000002</v>
      </c>
      <c r="N59" s="1051"/>
      <c r="O59" s="597" t="s">
        <v>3836</v>
      </c>
      <c r="P59" s="597" t="s">
        <v>3461</v>
      </c>
      <c r="Q59" s="875" t="s">
        <v>3462</v>
      </c>
      <c r="R59" s="969"/>
      <c r="T59" s="597"/>
      <c r="U59" s="597"/>
    </row>
    <row r="60" spans="1:21" s="595" customFormat="1" ht="13.7" customHeight="1" x14ac:dyDescent="0.2">
      <c r="A60" s="876"/>
      <c r="B60" s="813"/>
      <c r="C60" s="680">
        <f t="shared" si="0"/>
        <v>49</v>
      </c>
      <c r="D60" s="1716" t="s">
        <v>4761</v>
      </c>
      <c r="E60" s="1717" t="s">
        <v>3477</v>
      </c>
      <c r="F60" s="597">
        <v>90.7</v>
      </c>
      <c r="G60" s="597">
        <v>35</v>
      </c>
      <c r="H60" s="597">
        <v>0.1</v>
      </c>
      <c r="I60" s="968">
        <v>58.7</v>
      </c>
      <c r="J60" s="968">
        <v>0</v>
      </c>
      <c r="K60" s="968">
        <v>10.8</v>
      </c>
      <c r="L60" s="968">
        <v>10</v>
      </c>
      <c r="M60" s="968">
        <v>3</v>
      </c>
      <c r="N60" s="1051"/>
      <c r="O60" s="597" t="s">
        <v>3836</v>
      </c>
      <c r="P60" s="597" t="s">
        <v>3461</v>
      </c>
      <c r="Q60" s="875" t="s">
        <v>3462</v>
      </c>
      <c r="R60" s="969"/>
      <c r="T60" s="597"/>
      <c r="U60" s="597"/>
    </row>
    <row r="61" spans="1:21" s="595" customFormat="1" ht="13.7" customHeight="1" x14ac:dyDescent="0.2">
      <c r="A61" s="876"/>
      <c r="B61" s="813"/>
      <c r="C61" s="680">
        <f t="shared" si="0"/>
        <v>50</v>
      </c>
      <c r="D61" s="1716" t="s">
        <v>4762</v>
      </c>
      <c r="E61" s="1717" t="s">
        <v>3477</v>
      </c>
      <c r="F61" s="597">
        <v>89.1</v>
      </c>
      <c r="G61" s="597">
        <v>50</v>
      </c>
      <c r="H61" s="597">
        <v>0.1</v>
      </c>
      <c r="I61" s="968">
        <v>59.400000000000006</v>
      </c>
      <c r="J61" s="968">
        <v>0.1</v>
      </c>
      <c r="K61" s="968">
        <v>28</v>
      </c>
      <c r="L61" s="968">
        <v>16.7</v>
      </c>
      <c r="M61" s="968">
        <v>9.2000000000000011</v>
      </c>
      <c r="N61" s="1051"/>
      <c r="O61" s="597" t="s">
        <v>3836</v>
      </c>
      <c r="P61" s="597" t="s">
        <v>3461</v>
      </c>
      <c r="Q61" s="875" t="s">
        <v>3462</v>
      </c>
      <c r="R61" s="969"/>
      <c r="T61" s="597"/>
      <c r="U61" s="597"/>
    </row>
    <row r="62" spans="1:21" s="595" customFormat="1" ht="13.7" customHeight="1" x14ac:dyDescent="0.2">
      <c r="A62" s="876"/>
      <c r="B62" s="813"/>
      <c r="C62" s="680">
        <f t="shared" si="0"/>
        <v>51</v>
      </c>
      <c r="D62" s="1716" t="s">
        <v>3481</v>
      </c>
      <c r="E62" s="1717" t="s">
        <v>3477</v>
      </c>
      <c r="F62" s="597">
        <v>90.7</v>
      </c>
      <c r="G62" s="597">
        <v>50</v>
      </c>
      <c r="H62" s="597">
        <v>0.1</v>
      </c>
      <c r="I62" s="968">
        <v>57.1</v>
      </c>
      <c r="J62" s="968">
        <v>0</v>
      </c>
      <c r="K62" s="968">
        <v>22.5</v>
      </c>
      <c r="L62" s="968">
        <v>13.9</v>
      </c>
      <c r="M62" s="968">
        <v>6.8000000000000007</v>
      </c>
      <c r="N62" s="1051"/>
      <c r="O62" s="597" t="s">
        <v>3836</v>
      </c>
      <c r="P62" s="597" t="s">
        <v>3461</v>
      </c>
      <c r="Q62" s="875" t="s">
        <v>3462</v>
      </c>
      <c r="R62" s="969"/>
      <c r="T62" s="597"/>
      <c r="U62" s="597"/>
    </row>
    <row r="63" spans="1:21" s="595" customFormat="1" ht="13.7" customHeight="1" x14ac:dyDescent="0.2">
      <c r="A63" s="876"/>
      <c r="B63" s="813"/>
      <c r="C63" s="680">
        <f t="shared" si="0"/>
        <v>52</v>
      </c>
      <c r="D63" s="1716" t="s">
        <v>3482</v>
      </c>
      <c r="E63" s="1717" t="s">
        <v>3477</v>
      </c>
      <c r="F63" s="597">
        <v>91.9</v>
      </c>
      <c r="G63" s="597">
        <v>50</v>
      </c>
      <c r="H63" s="597">
        <v>0.1</v>
      </c>
      <c r="I63" s="968">
        <v>44.699999999999996</v>
      </c>
      <c r="J63" s="968">
        <v>1.7999999999999998</v>
      </c>
      <c r="K63" s="968">
        <v>12.8</v>
      </c>
      <c r="L63" s="968">
        <v>51.8</v>
      </c>
      <c r="M63" s="968">
        <v>3.8</v>
      </c>
      <c r="N63" s="1051"/>
      <c r="O63" s="597" t="s">
        <v>3836</v>
      </c>
      <c r="P63" s="597" t="s">
        <v>3461</v>
      </c>
      <c r="Q63" s="875" t="s">
        <v>3462</v>
      </c>
      <c r="R63" s="969"/>
      <c r="T63" s="597"/>
      <c r="U63" s="597"/>
    </row>
    <row r="64" spans="1:21" s="595" customFormat="1" ht="13.7" customHeight="1" x14ac:dyDescent="0.2">
      <c r="A64" s="876"/>
      <c r="B64" s="813"/>
      <c r="C64" s="680">
        <f t="shared" si="0"/>
        <v>53</v>
      </c>
      <c r="D64" s="1716" t="s">
        <v>3483</v>
      </c>
      <c r="E64" s="1717" t="s">
        <v>3477</v>
      </c>
      <c r="F64" s="1051"/>
      <c r="G64" s="597">
        <v>30</v>
      </c>
      <c r="H64" s="597">
        <v>0.1</v>
      </c>
      <c r="I64" s="968">
        <v>70</v>
      </c>
      <c r="J64" s="1482"/>
      <c r="K64" s="968">
        <v>55</v>
      </c>
      <c r="L64" s="968">
        <v>10</v>
      </c>
      <c r="M64" s="968">
        <v>0</v>
      </c>
      <c r="N64" s="1051"/>
      <c r="O64" s="597" t="s">
        <v>3836</v>
      </c>
      <c r="P64" s="597" t="s">
        <v>3461</v>
      </c>
      <c r="Q64" s="875" t="s">
        <v>3462</v>
      </c>
      <c r="R64" s="969"/>
      <c r="T64" s="597"/>
      <c r="U64" s="597"/>
    </row>
    <row r="65" spans="1:37" s="595" customFormat="1" ht="13.7" customHeight="1" x14ac:dyDescent="0.2">
      <c r="A65" s="876"/>
      <c r="B65" s="813"/>
      <c r="C65" s="680">
        <f t="shared" si="0"/>
        <v>54</v>
      </c>
      <c r="D65" s="1716" t="s">
        <v>4763</v>
      </c>
      <c r="E65" s="1717" t="s">
        <v>3477</v>
      </c>
      <c r="F65" s="597">
        <v>65.099999999999994</v>
      </c>
      <c r="G65" s="597">
        <v>40</v>
      </c>
      <c r="H65" s="597">
        <v>0.1</v>
      </c>
      <c r="I65" s="968">
        <v>52.300000000000004</v>
      </c>
      <c r="J65" s="968">
        <v>7.1999999999999993</v>
      </c>
      <c r="K65" s="968">
        <v>4.8</v>
      </c>
      <c r="L65" s="968">
        <v>88</v>
      </c>
      <c r="M65" s="968">
        <v>2.5</v>
      </c>
      <c r="N65" s="1051"/>
      <c r="O65" s="597" t="s">
        <v>3836</v>
      </c>
      <c r="P65" s="597" t="s">
        <v>3461</v>
      </c>
      <c r="Q65" s="875" t="s">
        <v>3462</v>
      </c>
      <c r="R65" s="969"/>
      <c r="T65" s="597"/>
      <c r="U65" s="597"/>
    </row>
    <row r="66" spans="1:37" s="595" customFormat="1" ht="13.7" customHeight="1" x14ac:dyDescent="0.2">
      <c r="A66" s="876"/>
      <c r="B66" s="813"/>
      <c r="C66" s="680">
        <f t="shared" si="0"/>
        <v>55</v>
      </c>
      <c r="D66" s="1716" t="s">
        <v>3484</v>
      </c>
      <c r="E66" s="1717" t="s">
        <v>3477</v>
      </c>
      <c r="F66" s="968">
        <v>41</v>
      </c>
      <c r="G66" s="597">
        <v>5</v>
      </c>
      <c r="H66" s="597">
        <v>0.1</v>
      </c>
      <c r="I66" s="968">
        <v>7.4</v>
      </c>
      <c r="J66" s="968"/>
      <c r="K66" s="968">
        <v>2.2999999999999998</v>
      </c>
      <c r="L66" s="968">
        <v>7.8</v>
      </c>
      <c r="M66" s="968">
        <v>5</v>
      </c>
      <c r="N66" s="1051"/>
      <c r="O66" s="597" t="s">
        <v>3836</v>
      </c>
      <c r="P66" s="597" t="s">
        <v>3461</v>
      </c>
      <c r="Q66" s="875" t="s">
        <v>3462</v>
      </c>
      <c r="R66" s="969"/>
      <c r="T66" s="597"/>
      <c r="U66" s="597"/>
    </row>
    <row r="67" spans="1:37" s="595" customFormat="1" ht="13.7" customHeight="1" x14ac:dyDescent="0.2">
      <c r="A67" s="876"/>
      <c r="B67" s="813"/>
      <c r="C67" s="680">
        <f t="shared" si="0"/>
        <v>56</v>
      </c>
      <c r="D67" s="1716" t="s">
        <v>3485</v>
      </c>
      <c r="E67" s="1717" t="s">
        <v>3477</v>
      </c>
      <c r="F67" s="597">
        <v>94.2</v>
      </c>
      <c r="G67" s="597">
        <v>50</v>
      </c>
      <c r="H67" s="597">
        <v>0.1</v>
      </c>
      <c r="I67" s="968">
        <v>142</v>
      </c>
      <c r="J67" s="968">
        <v>8.5</v>
      </c>
      <c r="K67" s="968">
        <v>9.6</v>
      </c>
      <c r="L67" s="968">
        <v>6</v>
      </c>
      <c r="M67" s="968">
        <v>2</v>
      </c>
      <c r="N67" s="1051"/>
      <c r="O67" s="597" t="s">
        <v>3836</v>
      </c>
      <c r="P67" s="597" t="s">
        <v>3461</v>
      </c>
      <c r="Q67" s="875" t="s">
        <v>3462</v>
      </c>
      <c r="R67" s="969"/>
      <c r="T67" s="597"/>
      <c r="U67" s="597"/>
    </row>
    <row r="68" spans="1:37" s="595" customFormat="1" ht="13.7" customHeight="1" x14ac:dyDescent="0.2">
      <c r="A68" s="876"/>
      <c r="B68" s="813"/>
      <c r="C68" s="680">
        <f t="shared" si="0"/>
        <v>57</v>
      </c>
      <c r="D68" s="1716" t="s">
        <v>3486</v>
      </c>
      <c r="E68" s="1717" t="s">
        <v>3477</v>
      </c>
      <c r="F68" s="1479"/>
      <c r="G68" s="1479"/>
      <c r="H68" s="597">
        <v>0.1</v>
      </c>
      <c r="I68" s="1480"/>
      <c r="J68" s="1480"/>
      <c r="K68" s="1480"/>
      <c r="L68" s="1480"/>
      <c r="M68" s="1480"/>
      <c r="N68" s="1479"/>
      <c r="O68" s="597" t="s">
        <v>3836</v>
      </c>
      <c r="P68" s="597" t="s">
        <v>3461</v>
      </c>
      <c r="Q68" s="875" t="s">
        <v>3462</v>
      </c>
      <c r="R68" s="969" t="str">
        <f>IF(I68&gt;0,1,"Daten unvollständig")</f>
        <v>Daten unvollständig</v>
      </c>
      <c r="T68" s="597"/>
      <c r="U68" s="597"/>
    </row>
    <row r="69" spans="1:37" s="595" customFormat="1" ht="13.7" customHeight="1" x14ac:dyDescent="0.2">
      <c r="A69" s="876"/>
      <c r="B69" s="813"/>
      <c r="C69" s="680">
        <f t="shared" si="0"/>
        <v>58</v>
      </c>
      <c r="D69" s="1716" t="s">
        <v>4457</v>
      </c>
      <c r="E69" s="1717" t="s">
        <v>3477</v>
      </c>
      <c r="F69" s="1479"/>
      <c r="G69" s="1479"/>
      <c r="H69" s="597">
        <v>0.1</v>
      </c>
      <c r="I69" s="1480"/>
      <c r="J69" s="1480"/>
      <c r="K69" s="1480"/>
      <c r="L69" s="1480"/>
      <c r="M69" s="1480"/>
      <c r="N69" s="1479"/>
      <c r="O69" s="597" t="s">
        <v>3836</v>
      </c>
      <c r="P69" s="597" t="s">
        <v>3461</v>
      </c>
      <c r="Q69" s="875" t="s">
        <v>3462</v>
      </c>
      <c r="R69" s="969" t="str">
        <f>IF(I69&gt;0,1,"Daten unvollständig")</f>
        <v>Daten unvollständig</v>
      </c>
      <c r="T69" s="597"/>
      <c r="U69" s="597"/>
    </row>
    <row r="70" spans="1:37" s="595" customFormat="1" ht="13.7" customHeight="1" x14ac:dyDescent="0.2">
      <c r="A70" s="876"/>
      <c r="B70" s="813"/>
      <c r="C70" s="680">
        <f t="shared" si="0"/>
        <v>59</v>
      </c>
      <c r="D70" s="1716" t="s">
        <v>3474</v>
      </c>
      <c r="E70" s="1717" t="s">
        <v>3460</v>
      </c>
      <c r="F70" s="597">
        <v>30</v>
      </c>
      <c r="G70" s="597">
        <v>10</v>
      </c>
      <c r="H70" s="597">
        <v>0.04</v>
      </c>
      <c r="I70" s="968">
        <v>8.1999999999999993</v>
      </c>
      <c r="J70" s="968">
        <v>0.2</v>
      </c>
      <c r="K70" s="968">
        <v>4.7</v>
      </c>
      <c r="L70" s="968">
        <v>6</v>
      </c>
      <c r="M70" s="968">
        <v>3</v>
      </c>
      <c r="N70" s="1051"/>
      <c r="O70" s="597" t="s">
        <v>3836</v>
      </c>
      <c r="P70" s="597" t="s">
        <v>3461</v>
      </c>
      <c r="Q70" s="875" t="s">
        <v>3462</v>
      </c>
      <c r="R70" s="969"/>
      <c r="T70" s="597"/>
      <c r="U70" s="597"/>
    </row>
    <row r="71" spans="1:37" s="595" customFormat="1" ht="13.7" customHeight="1" x14ac:dyDescent="0.2">
      <c r="A71" s="876"/>
      <c r="B71" s="813"/>
      <c r="C71" s="680">
        <f t="shared" si="0"/>
        <v>60</v>
      </c>
      <c r="D71" s="1716" t="s">
        <v>3475</v>
      </c>
      <c r="E71" s="1717" t="s">
        <v>3460</v>
      </c>
      <c r="F71" s="597">
        <v>60</v>
      </c>
      <c r="G71" s="597">
        <v>3</v>
      </c>
      <c r="H71" s="597">
        <v>0.04</v>
      </c>
      <c r="I71" s="968">
        <v>7.1</v>
      </c>
      <c r="J71" s="968">
        <v>0.6</v>
      </c>
      <c r="K71" s="968">
        <v>3.1</v>
      </c>
      <c r="L71" s="968">
        <v>6.1</v>
      </c>
      <c r="M71" s="968">
        <v>5</v>
      </c>
      <c r="N71" s="1051"/>
      <c r="O71" s="597" t="s">
        <v>3836</v>
      </c>
      <c r="P71" s="597" t="s">
        <v>3461</v>
      </c>
      <c r="Q71" s="875" t="s">
        <v>3462</v>
      </c>
      <c r="R71" s="969"/>
      <c r="T71" s="597"/>
      <c r="U71" s="597"/>
    </row>
    <row r="72" spans="1:37" s="595" customFormat="1" ht="13.7" customHeight="1" x14ac:dyDescent="0.2">
      <c r="A72" s="876"/>
      <c r="B72" s="813"/>
      <c r="C72" s="680">
        <f t="shared" si="0"/>
        <v>61</v>
      </c>
      <c r="D72" s="1716" t="s">
        <v>4701</v>
      </c>
      <c r="E72" s="1717" t="s">
        <v>3460</v>
      </c>
      <c r="F72" s="597">
        <v>65</v>
      </c>
      <c r="G72" s="597">
        <v>5</v>
      </c>
      <c r="H72" s="597">
        <v>0.04</v>
      </c>
      <c r="I72" s="968">
        <v>9.8000000000000007</v>
      </c>
      <c r="J72" s="968">
        <v>0.4</v>
      </c>
      <c r="K72" s="968">
        <v>5.0999999999999996</v>
      </c>
      <c r="L72" s="968">
        <v>8</v>
      </c>
      <c r="M72" s="968">
        <v>8</v>
      </c>
      <c r="N72" s="1051"/>
      <c r="O72" s="597" t="s">
        <v>3836</v>
      </c>
      <c r="P72" s="597" t="s">
        <v>3461</v>
      </c>
      <c r="Q72" s="875" t="s">
        <v>3462</v>
      </c>
      <c r="R72" s="969"/>
      <c r="T72" s="597"/>
      <c r="U72" s="597"/>
    </row>
    <row r="73" spans="1:37" s="595" customFormat="1" ht="13.7" customHeight="1" x14ac:dyDescent="0.2">
      <c r="A73" s="876"/>
      <c r="B73" s="813"/>
      <c r="C73" s="680">
        <f t="shared" si="0"/>
        <v>62</v>
      </c>
      <c r="D73" s="611" t="s">
        <v>4537</v>
      </c>
      <c r="E73" s="615">
        <v>0</v>
      </c>
      <c r="F73" s="615">
        <v>0</v>
      </c>
      <c r="G73" s="615">
        <v>0</v>
      </c>
      <c r="H73" s="615">
        <v>0</v>
      </c>
      <c r="I73" s="615">
        <v>0</v>
      </c>
      <c r="J73" s="615">
        <v>0</v>
      </c>
      <c r="K73" s="615">
        <v>0</v>
      </c>
      <c r="L73" s="615">
        <v>0</v>
      </c>
      <c r="M73" s="615">
        <v>0</v>
      </c>
      <c r="N73" s="615">
        <v>0</v>
      </c>
      <c r="O73" s="615">
        <v>0</v>
      </c>
      <c r="P73" s="615"/>
      <c r="Q73" s="1477"/>
      <c r="R73" s="969"/>
      <c r="T73" s="597"/>
      <c r="U73" s="597"/>
    </row>
    <row r="74" spans="1:37" s="613" customFormat="1" x14ac:dyDescent="0.2">
      <c r="C74" s="616"/>
      <c r="D74" s="1483" t="s">
        <v>4474</v>
      </c>
      <c r="E74" s="589" t="s">
        <v>4363</v>
      </c>
      <c r="F74" s="589"/>
      <c r="G74" s="616"/>
      <c r="U74" s="616"/>
      <c r="AE74" s="616"/>
      <c r="AJ74" s="616"/>
      <c r="AK74" s="616"/>
    </row>
    <row r="75" spans="1:37" s="595" customFormat="1" hidden="1" x14ac:dyDescent="0.2">
      <c r="A75" s="876"/>
      <c r="B75" s="822"/>
      <c r="C75" s="863"/>
      <c r="D75" s="1009"/>
      <c r="E75" s="1158"/>
      <c r="F75" s="1158"/>
      <c r="G75" s="1158"/>
      <c r="H75" s="1158"/>
      <c r="I75" s="1484"/>
      <c r="J75" s="1484"/>
      <c r="K75" s="1484"/>
      <c r="L75" s="1484"/>
      <c r="M75" s="1484"/>
      <c r="N75" s="1158"/>
      <c r="O75" s="1158"/>
      <c r="P75" s="1158"/>
      <c r="Q75" s="1485"/>
      <c r="R75" s="969"/>
      <c r="T75" s="597"/>
      <c r="U75" s="597"/>
    </row>
    <row r="76" spans="1:37" s="599" customFormat="1" hidden="1" x14ac:dyDescent="0.2">
      <c r="A76" s="929"/>
      <c r="B76" s="952"/>
      <c r="C76" s="953"/>
      <c r="D76" s="933" t="s">
        <v>3684</v>
      </c>
      <c r="E76" s="1169"/>
      <c r="F76" s="1169"/>
      <c r="G76" s="1169"/>
      <c r="H76" s="1169"/>
      <c r="I76" s="1486"/>
      <c r="J76" s="1169"/>
      <c r="K76" s="1169"/>
      <c r="L76" s="1169"/>
      <c r="M76" s="1169"/>
      <c r="N76" s="1169"/>
      <c r="O76" s="1169"/>
      <c r="P76" s="1169"/>
      <c r="Q76" s="1171"/>
      <c r="R76" s="1481"/>
      <c r="T76" s="1114"/>
      <c r="U76" s="1114"/>
    </row>
    <row r="77" spans="1:37" s="595" customFormat="1" hidden="1" x14ac:dyDescent="0.2">
      <c r="A77" s="876"/>
      <c r="B77" s="813"/>
      <c r="C77" s="657"/>
      <c r="D77" s="597" t="s">
        <v>3512</v>
      </c>
      <c r="E77" s="597"/>
      <c r="F77" s="597"/>
      <c r="G77" s="597"/>
      <c r="H77" s="597"/>
      <c r="I77" s="1109"/>
      <c r="J77" s="597"/>
      <c r="K77" s="597"/>
      <c r="L77" s="597"/>
      <c r="M77" s="597"/>
      <c r="N77" s="597"/>
      <c r="O77" s="597"/>
      <c r="P77" s="597"/>
      <c r="Q77" s="875"/>
      <c r="R77" s="969"/>
      <c r="T77" s="597"/>
      <c r="U77" s="597"/>
    </row>
    <row r="78" spans="1:37" s="595" customFormat="1" hidden="1" x14ac:dyDescent="0.2">
      <c r="A78" s="876"/>
      <c r="B78" s="813"/>
      <c r="C78" s="657"/>
      <c r="D78" s="584">
        <f>GL_Eingabe!M52</f>
        <v>1</v>
      </c>
      <c r="E78" s="597"/>
      <c r="F78" s="597"/>
      <c r="G78" s="597"/>
      <c r="H78" s="597"/>
      <c r="I78" s="1109" t="s">
        <v>4307</v>
      </c>
      <c r="J78" s="597"/>
      <c r="K78" s="597"/>
      <c r="L78" s="597"/>
      <c r="M78" s="597"/>
      <c r="N78" s="597"/>
      <c r="O78" s="597"/>
      <c r="P78" s="597"/>
      <c r="Q78" s="875"/>
      <c r="R78" s="969"/>
      <c r="T78" s="597"/>
      <c r="U78" s="597"/>
    </row>
    <row r="79" spans="1:37" s="595" customFormat="1" hidden="1" x14ac:dyDescent="0.2">
      <c r="A79" s="876"/>
      <c r="B79" s="813"/>
      <c r="C79" s="657"/>
      <c r="E79" s="597"/>
      <c r="F79" s="597"/>
      <c r="G79" s="597"/>
      <c r="H79" s="597"/>
      <c r="I79" s="1109"/>
      <c r="J79" s="597"/>
      <c r="K79" s="597"/>
      <c r="L79" s="597"/>
      <c r="M79" s="597"/>
      <c r="N79" s="597"/>
      <c r="O79" s="597"/>
      <c r="P79" s="597"/>
      <c r="Q79" s="875"/>
      <c r="R79" s="969"/>
      <c r="T79" s="597"/>
      <c r="U79" s="597"/>
    </row>
    <row r="80" spans="1:37" s="595" customFormat="1" hidden="1" x14ac:dyDescent="0.2">
      <c r="A80" s="876"/>
      <c r="B80" s="813"/>
      <c r="C80" s="657"/>
      <c r="D80" s="595" t="str">
        <f>VLOOKUP(GL_Eingabe!$M$52,$C$12:$Q$69,$D$9,FALSE)</f>
        <v>keine organ./organ.-mineral. Düngung</v>
      </c>
      <c r="E80" s="597"/>
      <c r="F80" s="597"/>
      <c r="G80" s="597"/>
      <c r="H80" s="597"/>
      <c r="I80" s="1109">
        <f>VLOOKUP(GL_Eingabe!$M$52,$C$12:$Q$69,$I$9,FALSE)</f>
        <v>0</v>
      </c>
      <c r="J80" s="597">
        <f>VLOOKUP(GL_Eingabe!$M$52,$C$12:$Q$69,$P$9,FALSE)</f>
        <v>0</v>
      </c>
      <c r="K80" s="597"/>
      <c r="L80" s="597"/>
      <c r="M80" s="597"/>
      <c r="N80" s="597"/>
      <c r="O80" s="597"/>
      <c r="P80" s="597"/>
      <c r="Q80" s="875"/>
      <c r="R80" s="969"/>
      <c r="T80" s="597"/>
      <c r="U80" s="597"/>
    </row>
    <row r="81" spans="1:21" s="595" customFormat="1" hidden="1" x14ac:dyDescent="0.2">
      <c r="A81" s="876"/>
      <c r="B81" s="813"/>
      <c r="C81" s="657"/>
      <c r="D81" s="1487" t="s">
        <v>27</v>
      </c>
      <c r="E81" s="597"/>
      <c r="F81" s="597"/>
      <c r="G81" s="597"/>
      <c r="H81" s="597"/>
      <c r="I81" s="1109">
        <f>IF(D78=1,0,GL_Eingabe!J52)</f>
        <v>0</v>
      </c>
      <c r="J81" s="597">
        <f>VLOOKUP(GL_Eingabe!$M$52,$C$12:$Q$69,$P$9,FALSE)</f>
        <v>0</v>
      </c>
      <c r="K81" s="597"/>
      <c r="L81" s="597"/>
      <c r="M81" s="597"/>
      <c r="N81" s="597"/>
      <c r="O81" s="597"/>
      <c r="P81" s="597"/>
      <c r="Q81" s="875"/>
      <c r="R81" s="969"/>
      <c r="T81" s="597"/>
      <c r="U81" s="597"/>
    </row>
    <row r="82" spans="1:21" s="595" customFormat="1" hidden="1" x14ac:dyDescent="0.2">
      <c r="A82" s="876"/>
      <c r="B82" s="813"/>
      <c r="C82" s="657"/>
      <c r="D82" s="595" t="s">
        <v>3837</v>
      </c>
      <c r="E82" s="597"/>
      <c r="F82" s="597"/>
      <c r="G82" s="597"/>
      <c r="H82" s="597"/>
      <c r="I82" s="1109"/>
      <c r="J82" s="584">
        <f>VLOOKUP(GL_Eingabe!$M$52,$C$12:$Q$69,$O$9,FALSE)</f>
        <v>0</v>
      </c>
      <c r="K82" s="597"/>
      <c r="L82" s="597"/>
      <c r="M82" s="597"/>
      <c r="N82" s="597"/>
      <c r="O82" s="597"/>
      <c r="P82" s="597"/>
      <c r="Q82" s="875"/>
      <c r="R82" s="969"/>
      <c r="T82" s="597"/>
      <c r="U82" s="597"/>
    </row>
    <row r="83" spans="1:21" s="595" customFormat="1" hidden="1" x14ac:dyDescent="0.2">
      <c r="A83" s="876"/>
      <c r="B83" s="813"/>
      <c r="C83" s="657"/>
      <c r="D83" s="1267" t="s">
        <v>4308</v>
      </c>
      <c r="E83" s="1024"/>
      <c r="F83" s="1024" t="s">
        <v>4513</v>
      </c>
      <c r="G83" s="1488">
        <f>IF(GL_Eingabe!$J$52="",1,0)</f>
        <v>1</v>
      </c>
      <c r="H83" s="597"/>
      <c r="I83" s="1489">
        <f>IF(AND(I81&gt;=0,G83=0),I81,I80)</f>
        <v>0</v>
      </c>
      <c r="J83" s="584"/>
      <c r="K83" s="597"/>
      <c r="L83" s="597"/>
      <c r="M83" s="597"/>
      <c r="N83" s="597"/>
      <c r="O83" s="597"/>
      <c r="P83" s="597"/>
      <c r="Q83" s="1025" t="s">
        <v>4514</v>
      </c>
      <c r="R83" s="969"/>
      <c r="T83" s="597"/>
      <c r="U83" s="597"/>
    </row>
    <row r="84" spans="1:21" s="595" customFormat="1" hidden="1" x14ac:dyDescent="0.2">
      <c r="A84" s="876"/>
      <c r="B84" s="813"/>
      <c r="C84" s="657"/>
      <c r="E84" s="597"/>
      <c r="F84" s="597"/>
      <c r="G84" s="597"/>
      <c r="H84" s="597"/>
      <c r="I84" s="1109"/>
      <c r="J84" s="597"/>
      <c r="K84" s="597"/>
      <c r="L84" s="597"/>
      <c r="M84" s="597"/>
      <c r="N84" s="597"/>
      <c r="O84" s="597"/>
      <c r="P84" s="597"/>
      <c r="Q84" s="875"/>
      <c r="R84" s="969"/>
      <c r="T84" s="597"/>
      <c r="U84" s="597"/>
    </row>
    <row r="85" spans="1:21" s="595" customFormat="1" hidden="1" x14ac:dyDescent="0.2">
      <c r="A85" s="876"/>
      <c r="B85" s="813"/>
      <c r="C85" s="657"/>
      <c r="D85" s="595" t="s">
        <v>3538</v>
      </c>
      <c r="E85" s="597"/>
      <c r="F85" s="597"/>
      <c r="G85" s="597"/>
      <c r="H85" s="597"/>
      <c r="I85" s="1109"/>
      <c r="J85" s="597"/>
      <c r="K85" s="597"/>
      <c r="L85" s="597"/>
      <c r="M85" s="597"/>
      <c r="N85" s="597"/>
      <c r="O85" s="597"/>
      <c r="P85" s="597"/>
      <c r="Q85" s="875"/>
      <c r="R85" s="969"/>
      <c r="T85" s="597"/>
      <c r="U85" s="597"/>
    </row>
    <row r="86" spans="1:21" s="595" customFormat="1" hidden="1" x14ac:dyDescent="0.2">
      <c r="A86" s="876"/>
      <c r="B86" s="813"/>
      <c r="C86" s="657"/>
      <c r="D86" s="595" t="s">
        <v>3539</v>
      </c>
      <c r="E86" s="597"/>
      <c r="F86" s="597"/>
      <c r="G86" s="597"/>
      <c r="H86" s="597"/>
      <c r="I86" s="1109">
        <f>GL_Eingabe!H52</f>
        <v>0</v>
      </c>
      <c r="J86" s="597">
        <f>VLOOKUP(GL_Eingabe!$M$52,$C$12:$R$69,$Q$9,FALSE)</f>
        <v>0</v>
      </c>
      <c r="K86" s="597"/>
      <c r="L86" s="597"/>
      <c r="M86" s="597"/>
      <c r="N86" s="597"/>
      <c r="O86" s="597"/>
      <c r="P86" s="597"/>
      <c r="Q86" s="875"/>
      <c r="R86" s="969"/>
      <c r="T86" s="597"/>
      <c r="U86" s="597"/>
    </row>
    <row r="87" spans="1:21" s="595" customFormat="1" hidden="1" x14ac:dyDescent="0.2">
      <c r="A87" s="876"/>
      <c r="B87" s="813"/>
      <c r="C87" s="657"/>
      <c r="D87" s="595" t="s">
        <v>3541</v>
      </c>
      <c r="E87" s="597"/>
      <c r="F87" s="597"/>
      <c r="G87" s="597"/>
      <c r="H87" s="597"/>
      <c r="I87" s="1490">
        <f>I83</f>
        <v>0</v>
      </c>
      <c r="J87" s="597">
        <f>J80</f>
        <v>0</v>
      </c>
      <c r="K87" s="597"/>
      <c r="L87" s="597"/>
      <c r="M87" s="597"/>
      <c r="N87" s="597"/>
      <c r="O87" s="597"/>
      <c r="P87" s="597"/>
      <c r="Q87" s="875"/>
      <c r="R87" s="969"/>
      <c r="T87" s="597"/>
      <c r="U87" s="597"/>
    </row>
    <row r="88" spans="1:21" s="595" customFormat="1" hidden="1" x14ac:dyDescent="0.2">
      <c r="A88" s="876"/>
      <c r="B88" s="813"/>
      <c r="C88" s="657"/>
      <c r="D88" s="595" t="s">
        <v>3540</v>
      </c>
      <c r="E88" s="597"/>
      <c r="F88" s="597"/>
      <c r="G88" s="597"/>
      <c r="H88" s="597"/>
      <c r="I88" s="1109">
        <f>I86*I87</f>
        <v>0</v>
      </c>
      <c r="J88" s="597" t="s">
        <v>3309</v>
      </c>
      <c r="K88" s="597"/>
      <c r="L88" s="597"/>
      <c r="M88" s="597"/>
      <c r="N88" s="597"/>
      <c r="O88" s="597"/>
      <c r="P88" s="597"/>
      <c r="Q88" s="875"/>
      <c r="R88" s="969"/>
      <c r="T88" s="597"/>
      <c r="U88" s="597"/>
    </row>
    <row r="89" spans="1:21" s="595" customFormat="1" hidden="1" x14ac:dyDescent="0.2">
      <c r="A89" s="876"/>
      <c r="B89" s="813"/>
      <c r="C89" s="657"/>
      <c r="D89" s="595" t="s">
        <v>3542</v>
      </c>
      <c r="E89" s="597"/>
      <c r="F89" s="597"/>
      <c r="G89" s="597"/>
      <c r="H89" s="597"/>
      <c r="I89" s="1109">
        <f>VLOOKUP(GL_Eingabe!$M$52,$C$12:$Q$69,$H$9,FALSE)</f>
        <v>0</v>
      </c>
      <c r="J89" s="597"/>
      <c r="K89" s="597"/>
      <c r="L89" s="597"/>
      <c r="M89" s="597"/>
      <c r="N89" s="597"/>
      <c r="O89" s="597"/>
      <c r="P89" s="597"/>
      <c r="Q89" s="875"/>
      <c r="R89" s="969"/>
      <c r="T89" s="597"/>
      <c r="U89" s="597"/>
    </row>
    <row r="90" spans="1:21" s="595" customFormat="1" hidden="1" x14ac:dyDescent="0.2">
      <c r="A90" s="876"/>
      <c r="B90" s="813"/>
      <c r="C90" s="657"/>
      <c r="D90" s="595" t="s">
        <v>3543</v>
      </c>
      <c r="E90" s="597"/>
      <c r="F90" s="597"/>
      <c r="G90" s="597"/>
      <c r="H90" s="597"/>
      <c r="I90" s="1490">
        <f>ROUND(I88*I89,0)</f>
        <v>0</v>
      </c>
      <c r="J90" s="597" t="s">
        <v>3309</v>
      </c>
      <c r="K90" s="597"/>
      <c r="L90" s="597"/>
      <c r="M90" s="597"/>
      <c r="N90" s="597"/>
      <c r="O90" s="597"/>
      <c r="P90" s="597"/>
      <c r="Q90" s="875"/>
      <c r="R90" s="969"/>
      <c r="T90" s="597"/>
      <c r="U90" s="597"/>
    </row>
    <row r="91" spans="1:21" s="595" customFormat="1" hidden="1" x14ac:dyDescent="0.2">
      <c r="A91" s="876"/>
      <c r="B91" s="813"/>
      <c r="C91" s="657"/>
      <c r="E91" s="597"/>
      <c r="F91" s="597"/>
      <c r="G91" s="597"/>
      <c r="H91" s="597"/>
      <c r="I91" s="1109"/>
      <c r="J91" s="597"/>
      <c r="K91" s="597"/>
      <c r="L91" s="597"/>
      <c r="M91" s="597"/>
      <c r="N91" s="597"/>
      <c r="O91" s="597"/>
      <c r="P91" s="597"/>
      <c r="Q91" s="875"/>
      <c r="R91" s="969"/>
      <c r="T91" s="597"/>
      <c r="U91" s="597"/>
    </row>
    <row r="92" spans="1:21" s="595" customFormat="1" hidden="1" x14ac:dyDescent="0.2">
      <c r="A92" s="876"/>
      <c r="B92" s="813"/>
      <c r="C92" s="657"/>
      <c r="D92" s="597" t="s">
        <v>3512</v>
      </c>
      <c r="E92" s="597"/>
      <c r="F92" s="597"/>
      <c r="G92" s="597"/>
      <c r="H92" s="597"/>
      <c r="I92" s="1109"/>
      <c r="J92" s="597"/>
      <c r="K92" s="597"/>
      <c r="L92" s="597"/>
      <c r="M92" s="597"/>
      <c r="N92" s="597"/>
      <c r="O92" s="597"/>
      <c r="P92" s="597"/>
      <c r="Q92" s="875"/>
      <c r="R92" s="969"/>
      <c r="T92" s="597"/>
      <c r="U92" s="597"/>
    </row>
    <row r="93" spans="1:21" s="595" customFormat="1" hidden="1" x14ac:dyDescent="0.2">
      <c r="A93" s="876"/>
      <c r="B93" s="813"/>
      <c r="C93" s="657"/>
      <c r="D93" s="726">
        <f>GL_Eingabe!M54</f>
        <v>1</v>
      </c>
      <c r="E93" s="597"/>
      <c r="F93" s="597"/>
      <c r="G93" s="597"/>
      <c r="H93" s="597"/>
      <c r="I93" s="1109" t="s">
        <v>3537</v>
      </c>
      <c r="J93" s="597"/>
      <c r="K93" s="597"/>
      <c r="L93" s="597"/>
      <c r="M93" s="597"/>
      <c r="N93" s="597"/>
      <c r="O93" s="597"/>
      <c r="P93" s="597"/>
      <c r="Q93" s="875"/>
      <c r="R93" s="969"/>
      <c r="T93" s="597"/>
      <c r="U93" s="597"/>
    </row>
    <row r="94" spans="1:21" s="595" customFormat="1" hidden="1" x14ac:dyDescent="0.2">
      <c r="A94" s="876"/>
      <c r="B94" s="813"/>
      <c r="C94" s="657"/>
      <c r="E94" s="597"/>
      <c r="F94" s="597"/>
      <c r="G94" s="597"/>
      <c r="H94" s="597"/>
      <c r="I94" s="1109"/>
      <c r="J94" s="597"/>
      <c r="K94" s="597"/>
      <c r="L94" s="597"/>
      <c r="M94" s="597"/>
      <c r="N94" s="597"/>
      <c r="O94" s="597"/>
      <c r="P94" s="597"/>
      <c r="Q94" s="875"/>
      <c r="R94" s="969"/>
      <c r="T94" s="597"/>
      <c r="U94" s="597"/>
    </row>
    <row r="95" spans="1:21" s="595" customFormat="1" hidden="1" x14ac:dyDescent="0.2">
      <c r="A95" s="876"/>
      <c r="B95" s="813"/>
      <c r="C95" s="657"/>
      <c r="D95" s="595" t="str">
        <f>VLOOKUP(GL_Eingabe!$M$54,$C$12:$Q$69,$D$9,FALSE)</f>
        <v>keine organ./organ.-mineral. Düngung</v>
      </c>
      <c r="E95" s="597"/>
      <c r="F95" s="597"/>
      <c r="G95" s="597"/>
      <c r="H95" s="597"/>
      <c r="I95" s="1490">
        <f>VLOOKUP(GL_Eingabe!$M$54,$C$12:$Q$69,$I$9,FALSE)</f>
        <v>0</v>
      </c>
      <c r="J95" s="597">
        <f>VLOOKUP(GL_Eingabe!$M$52,$C$12:$Q$69,$P$9,FALSE)</f>
        <v>0</v>
      </c>
      <c r="K95" s="597"/>
      <c r="L95" s="597"/>
      <c r="M95" s="597"/>
      <c r="N95" s="597"/>
      <c r="O95" s="597"/>
      <c r="P95" s="597"/>
      <c r="Q95" s="875"/>
      <c r="R95" s="969"/>
      <c r="T95" s="597"/>
      <c r="U95" s="597"/>
    </row>
    <row r="96" spans="1:21" s="595" customFormat="1" hidden="1" x14ac:dyDescent="0.2">
      <c r="A96" s="876"/>
      <c r="B96" s="813"/>
      <c r="C96" s="657"/>
      <c r="D96" s="1487" t="s">
        <v>27</v>
      </c>
      <c r="E96" s="597"/>
      <c r="F96" s="597"/>
      <c r="G96" s="597"/>
      <c r="H96" s="597"/>
      <c r="I96" s="1490">
        <f>IF(D93=1,0,GL_Eingabe!J54)</f>
        <v>0</v>
      </c>
      <c r="J96" s="597">
        <f>VLOOKUP(GL_Eingabe!$M$52,$C$12:$Q$69,$P$9,FALSE)</f>
        <v>0</v>
      </c>
      <c r="K96" s="597"/>
      <c r="L96" s="597"/>
      <c r="M96" s="597"/>
      <c r="N96" s="597"/>
      <c r="O96" s="597"/>
      <c r="P96" s="597"/>
      <c r="Q96" s="875"/>
      <c r="R96" s="969"/>
      <c r="T96" s="597"/>
      <c r="U96" s="597"/>
    </row>
    <row r="97" spans="1:21" s="595" customFormat="1" hidden="1" x14ac:dyDescent="0.2">
      <c r="A97" s="876"/>
      <c r="B97" s="813"/>
      <c r="C97" s="657"/>
      <c r="D97" s="595" t="s">
        <v>3837</v>
      </c>
      <c r="E97" s="597"/>
      <c r="F97" s="597"/>
      <c r="G97" s="597"/>
      <c r="H97" s="597"/>
      <c r="I97" s="1109"/>
      <c r="J97" s="584">
        <f>VLOOKUP(GL_Eingabe!$M$54,$C$12:$Q$69,$O$9,FALSE)</f>
        <v>0</v>
      </c>
      <c r="K97" s="597"/>
      <c r="L97" s="597"/>
      <c r="M97" s="597"/>
      <c r="N97" s="597"/>
      <c r="O97" s="597"/>
      <c r="P97" s="597"/>
      <c r="Q97" s="875"/>
      <c r="R97" s="969"/>
      <c r="T97" s="597"/>
      <c r="U97" s="597"/>
    </row>
    <row r="98" spans="1:21" s="595" customFormat="1" hidden="1" x14ac:dyDescent="0.2">
      <c r="A98" s="876"/>
      <c r="B98" s="813"/>
      <c r="C98" s="657"/>
      <c r="D98" s="1267" t="s">
        <v>4308</v>
      </c>
      <c r="E98" s="1024"/>
      <c r="F98" s="1024" t="s">
        <v>4513</v>
      </c>
      <c r="G98" s="1488">
        <f>IF(GL_Eingabe!$J$54="",1,0)</f>
        <v>1</v>
      </c>
      <c r="H98" s="597"/>
      <c r="I98" s="1491">
        <f>IF(AND(I96&gt;=0,G98=0),I96,I95)</f>
        <v>0</v>
      </c>
      <c r="J98" s="584"/>
      <c r="K98" s="597"/>
      <c r="L98" s="597"/>
      <c r="M98" s="597"/>
      <c r="N98" s="597"/>
      <c r="O98" s="597"/>
      <c r="P98" s="597"/>
      <c r="Q98" s="1025" t="s">
        <v>4514</v>
      </c>
      <c r="R98" s="969"/>
      <c r="T98" s="597"/>
      <c r="U98" s="597"/>
    </row>
    <row r="99" spans="1:21" s="595" customFormat="1" hidden="1" x14ac:dyDescent="0.2">
      <c r="A99" s="876"/>
      <c r="B99" s="813"/>
      <c r="C99" s="657"/>
      <c r="E99" s="597"/>
      <c r="F99" s="597"/>
      <c r="G99" s="597"/>
      <c r="H99" s="597"/>
      <c r="I99" s="1109"/>
      <c r="J99" s="597"/>
      <c r="K99" s="597"/>
      <c r="L99" s="597"/>
      <c r="M99" s="597"/>
      <c r="N99" s="597"/>
      <c r="O99" s="597"/>
      <c r="P99" s="597"/>
      <c r="Q99" s="875"/>
      <c r="R99" s="969"/>
      <c r="T99" s="597"/>
      <c r="U99" s="597"/>
    </row>
    <row r="100" spans="1:21" s="595" customFormat="1" hidden="1" x14ac:dyDescent="0.2">
      <c r="A100" s="876"/>
      <c r="B100" s="813"/>
      <c r="C100" s="657"/>
      <c r="D100" s="595" t="s">
        <v>3538</v>
      </c>
      <c r="E100" s="597"/>
      <c r="F100" s="597"/>
      <c r="G100" s="597"/>
      <c r="H100" s="597"/>
      <c r="I100" s="1109"/>
      <c r="J100" s="597"/>
      <c r="K100" s="597"/>
      <c r="L100" s="597"/>
      <c r="M100" s="597"/>
      <c r="N100" s="597"/>
      <c r="O100" s="597"/>
      <c r="P100" s="597"/>
      <c r="Q100" s="875"/>
      <c r="R100" s="969"/>
      <c r="T100" s="597"/>
      <c r="U100" s="597"/>
    </row>
    <row r="101" spans="1:21" s="595" customFormat="1" hidden="1" x14ac:dyDescent="0.2">
      <c r="A101" s="876"/>
      <c r="B101" s="813"/>
      <c r="C101" s="657"/>
      <c r="D101" s="595" t="s">
        <v>3539</v>
      </c>
      <c r="E101" s="597"/>
      <c r="F101" s="597"/>
      <c r="G101" s="597"/>
      <c r="H101" s="597"/>
      <c r="I101" s="1109">
        <f>GL_Eingabe!H54</f>
        <v>0</v>
      </c>
      <c r="J101" s="597">
        <f>VLOOKUP(GL_Eingabe!$M$54,$C$12:$R$69,$Q$9,FALSE)</f>
        <v>0</v>
      </c>
      <c r="K101" s="597" t="s">
        <v>3921</v>
      </c>
      <c r="L101" s="597"/>
      <c r="M101" s="597"/>
      <c r="N101" s="597"/>
      <c r="O101" s="597"/>
      <c r="P101" s="597"/>
      <c r="Q101" s="875"/>
      <c r="R101" s="969"/>
      <c r="T101" s="597"/>
      <c r="U101" s="597"/>
    </row>
    <row r="102" spans="1:21" s="595" customFormat="1" hidden="1" x14ac:dyDescent="0.2">
      <c r="A102" s="876"/>
      <c r="B102" s="813"/>
      <c r="C102" s="657"/>
      <c r="D102" s="595" t="s">
        <v>3541</v>
      </c>
      <c r="E102" s="597"/>
      <c r="F102" s="597"/>
      <c r="G102" s="597"/>
      <c r="H102" s="597"/>
      <c r="I102" s="1109">
        <f>I98</f>
        <v>0</v>
      </c>
      <c r="J102" s="597">
        <f>J95</f>
        <v>0</v>
      </c>
      <c r="K102" s="597"/>
      <c r="L102" s="597"/>
      <c r="M102" s="597"/>
      <c r="N102" s="597"/>
      <c r="O102" s="597"/>
      <c r="P102" s="597"/>
      <c r="Q102" s="875"/>
      <c r="R102" s="969"/>
      <c r="T102" s="597"/>
      <c r="U102" s="597"/>
    </row>
    <row r="103" spans="1:21" s="595" customFormat="1" hidden="1" x14ac:dyDescent="0.2">
      <c r="A103" s="876"/>
      <c r="B103" s="813"/>
      <c r="C103" s="657"/>
      <c r="D103" s="595" t="s">
        <v>3540</v>
      </c>
      <c r="E103" s="597"/>
      <c r="F103" s="597"/>
      <c r="G103" s="597"/>
      <c r="H103" s="597"/>
      <c r="I103" s="1109">
        <f>I101*I102</f>
        <v>0</v>
      </c>
      <c r="J103" s="597" t="s">
        <v>3309</v>
      </c>
      <c r="K103" s="597"/>
      <c r="L103" s="597"/>
      <c r="M103" s="597"/>
      <c r="N103" s="597"/>
      <c r="O103" s="597"/>
      <c r="P103" s="597"/>
      <c r="Q103" s="875"/>
      <c r="R103" s="969"/>
      <c r="T103" s="597"/>
      <c r="U103" s="597"/>
    </row>
    <row r="104" spans="1:21" s="595" customFormat="1" hidden="1" x14ac:dyDescent="0.2">
      <c r="A104" s="876"/>
      <c r="B104" s="813"/>
      <c r="C104" s="657"/>
      <c r="D104" s="595" t="s">
        <v>3542</v>
      </c>
      <c r="E104" s="597"/>
      <c r="F104" s="597"/>
      <c r="G104" s="597"/>
      <c r="H104" s="597"/>
      <c r="I104" s="1109">
        <f>VLOOKUP(GL_Eingabe!$M$54,$C$12:$Q$69,$H$9,FALSE)</f>
        <v>0</v>
      </c>
      <c r="J104" s="597"/>
      <c r="K104" s="597"/>
      <c r="L104" s="597"/>
      <c r="M104" s="597"/>
      <c r="N104" s="597"/>
      <c r="O104" s="597"/>
      <c r="P104" s="597"/>
      <c r="Q104" s="875"/>
      <c r="R104" s="969"/>
      <c r="T104" s="597"/>
      <c r="U104" s="597"/>
    </row>
    <row r="105" spans="1:21" s="595" customFormat="1" hidden="1" x14ac:dyDescent="0.2">
      <c r="A105" s="876"/>
      <c r="B105" s="813"/>
      <c r="C105" s="657"/>
      <c r="D105" s="595" t="s">
        <v>3543</v>
      </c>
      <c r="E105" s="597"/>
      <c r="F105" s="597"/>
      <c r="G105" s="597"/>
      <c r="H105" s="597"/>
      <c r="I105" s="1490">
        <f>ROUND(I103*I104,0)</f>
        <v>0</v>
      </c>
      <c r="J105" s="597" t="s">
        <v>3309</v>
      </c>
      <c r="K105" s="597"/>
      <c r="L105" s="597"/>
      <c r="M105" s="597"/>
      <c r="N105" s="597"/>
      <c r="O105" s="597"/>
      <c r="P105" s="597"/>
      <c r="Q105" s="875"/>
      <c r="R105" s="969"/>
      <c r="T105" s="597"/>
      <c r="U105" s="597"/>
    </row>
    <row r="106" spans="1:21" s="595" customFormat="1" hidden="1" x14ac:dyDescent="0.2">
      <c r="A106" s="876"/>
      <c r="B106" s="813"/>
      <c r="C106" s="657"/>
      <c r="E106" s="597"/>
      <c r="F106" s="597"/>
      <c r="G106" s="597"/>
      <c r="H106" s="597"/>
      <c r="I106" s="1109"/>
      <c r="J106" s="597"/>
      <c r="K106" s="597"/>
      <c r="L106" s="597"/>
      <c r="M106" s="597"/>
      <c r="N106" s="597"/>
      <c r="O106" s="597"/>
      <c r="P106" s="597"/>
      <c r="Q106" s="875"/>
      <c r="R106" s="969"/>
      <c r="T106" s="597"/>
      <c r="U106" s="597"/>
    </row>
    <row r="107" spans="1:21" s="595" customFormat="1" hidden="1" x14ac:dyDescent="0.2">
      <c r="A107" s="876"/>
      <c r="B107" s="813"/>
      <c r="C107" s="657"/>
      <c r="E107" s="597"/>
      <c r="F107" s="597"/>
      <c r="G107" s="597"/>
      <c r="H107" s="597"/>
      <c r="I107" s="1109"/>
      <c r="J107" s="597"/>
      <c r="K107" s="597"/>
      <c r="L107" s="597"/>
      <c r="M107" s="597"/>
      <c r="N107" s="597"/>
      <c r="O107" s="597"/>
      <c r="P107" s="597"/>
      <c r="Q107" s="875"/>
      <c r="R107" s="969"/>
      <c r="T107" s="597"/>
      <c r="U107" s="597"/>
    </row>
    <row r="108" spans="1:21" s="595" customFormat="1" hidden="1" x14ac:dyDescent="0.2">
      <c r="A108" s="876"/>
      <c r="B108" s="826"/>
      <c r="C108" s="866"/>
      <c r="D108" s="1004"/>
      <c r="E108" s="1164"/>
      <c r="F108" s="1164"/>
      <c r="G108" s="1164"/>
      <c r="H108" s="1164"/>
      <c r="I108" s="1492"/>
      <c r="J108" s="1164"/>
      <c r="K108" s="1164"/>
      <c r="L108" s="1164"/>
      <c r="M108" s="1164"/>
      <c r="N108" s="1164"/>
      <c r="O108" s="1164"/>
      <c r="P108" s="1164"/>
      <c r="Q108" s="1493"/>
      <c r="R108" s="969"/>
      <c r="T108" s="597"/>
      <c r="U108" s="597"/>
    </row>
    <row r="109" spans="1:21" s="599" customFormat="1" hidden="1" x14ac:dyDescent="0.2">
      <c r="A109" s="929"/>
      <c r="B109" s="954"/>
      <c r="C109" s="955"/>
      <c r="D109" s="945" t="s">
        <v>3739</v>
      </c>
      <c r="E109" s="1174"/>
      <c r="F109" s="1174"/>
      <c r="G109" s="1174"/>
      <c r="H109" s="1174"/>
      <c r="I109" s="1494"/>
      <c r="J109" s="1174"/>
      <c r="K109" s="1174"/>
      <c r="L109" s="1174"/>
      <c r="M109" s="1174"/>
      <c r="N109" s="1174"/>
      <c r="O109" s="1174"/>
      <c r="P109" s="1174"/>
      <c r="Q109" s="1495"/>
      <c r="R109" s="1481"/>
      <c r="T109" s="1114"/>
      <c r="U109" s="1114"/>
    </row>
    <row r="110" spans="1:21" s="595" customFormat="1" hidden="1" x14ac:dyDescent="0.2">
      <c r="A110" s="876"/>
      <c r="B110" s="813"/>
      <c r="C110" s="657"/>
      <c r="E110" s="597"/>
      <c r="F110" s="597"/>
      <c r="G110" s="597"/>
      <c r="H110" s="597"/>
      <c r="I110" s="1109"/>
      <c r="J110" s="597"/>
      <c r="K110" s="597"/>
      <c r="L110" s="597"/>
      <c r="M110" s="597"/>
      <c r="N110" s="597"/>
      <c r="O110" s="597"/>
      <c r="P110" s="597"/>
      <c r="Q110" s="875"/>
      <c r="R110" s="969"/>
      <c r="T110" s="597"/>
      <c r="U110" s="597"/>
    </row>
    <row r="111" spans="1:21" s="595" customFormat="1" hidden="1" x14ac:dyDescent="0.2">
      <c r="A111" s="876"/>
      <c r="B111" s="813"/>
      <c r="C111" s="657"/>
      <c r="D111" s="591" t="s">
        <v>3809</v>
      </c>
      <c r="E111" s="597"/>
      <c r="F111" s="597"/>
      <c r="G111" s="597"/>
      <c r="H111" s="597"/>
      <c r="I111" s="1109"/>
      <c r="J111" s="597"/>
      <c r="K111" s="597"/>
      <c r="L111" s="597"/>
      <c r="M111" s="597"/>
      <c r="N111" s="597"/>
      <c r="O111" s="597"/>
      <c r="P111" s="597"/>
      <c r="Q111" s="875"/>
      <c r="R111" s="969"/>
      <c r="T111" s="597"/>
      <c r="U111" s="597"/>
    </row>
    <row r="112" spans="1:21" s="595" customFormat="1" hidden="1" x14ac:dyDescent="0.2">
      <c r="A112" s="876"/>
      <c r="B112" s="813"/>
      <c r="C112" s="657"/>
      <c r="D112" s="584">
        <f>AB_Eingabe!M49</f>
        <v>1</v>
      </c>
      <c r="E112" s="597"/>
      <c r="F112" s="597"/>
      <c r="G112" s="597"/>
      <c r="H112" s="597"/>
      <c r="I112" s="1109" t="s">
        <v>4307</v>
      </c>
      <c r="J112" s="597"/>
      <c r="K112" s="597" t="s">
        <v>3828</v>
      </c>
      <c r="L112" s="597" t="s">
        <v>3569</v>
      </c>
      <c r="M112" s="597" t="s">
        <v>3573</v>
      </c>
      <c r="N112" s="597"/>
      <c r="O112" s="597"/>
      <c r="P112" s="597"/>
      <c r="Q112" s="875"/>
      <c r="R112" s="969"/>
      <c r="T112" s="597"/>
      <c r="U112" s="597"/>
    </row>
    <row r="113" spans="1:21" s="595" customFormat="1" ht="15" hidden="1" x14ac:dyDescent="0.25">
      <c r="A113" s="876"/>
      <c r="B113" s="813"/>
      <c r="C113" s="657"/>
      <c r="D113" s="595" t="str">
        <f>VLOOKUP(AB_Eingabe!$M$49,$C$12:$D$73,$D$9,FALSE)</f>
        <v>keine organ./organ.-mineral. Düngung</v>
      </c>
      <c r="E113" s="597"/>
      <c r="F113" s="597"/>
      <c r="G113" s="596" t="s">
        <v>3835</v>
      </c>
      <c r="H113" s="905">
        <f>VLOOKUP($D$112,$C$12:$Q$73,$P$9,FALSE)</f>
        <v>0</v>
      </c>
      <c r="I113" s="1109">
        <f>VLOOKUP($D$112,$C$12:$Q$73,$I$9,FALSE)</f>
        <v>0</v>
      </c>
      <c r="J113" s="1023" t="s">
        <v>4512</v>
      </c>
      <c r="K113" s="597">
        <f>VLOOKUP($D$112,$C$12:$Q$73,$K$9,FALSE)</f>
        <v>0</v>
      </c>
      <c r="L113" s="597">
        <f>VLOOKUP($D$112,$C$12:$Q$73,$L$9,FALSE)</f>
        <v>0</v>
      </c>
      <c r="M113" s="597">
        <f>VLOOKUP($D$112,$C$12:$Q$73,$M$9,FALSE)</f>
        <v>0</v>
      </c>
      <c r="N113" s="597"/>
      <c r="O113" s="597"/>
      <c r="P113" s="597"/>
      <c r="Q113" s="875"/>
      <c r="R113" s="969"/>
      <c r="T113" s="597"/>
      <c r="U113" s="597"/>
    </row>
    <row r="114" spans="1:21" s="595" customFormat="1" hidden="1" x14ac:dyDescent="0.2">
      <c r="A114" s="876"/>
      <c r="B114" s="813"/>
      <c r="C114" s="657"/>
      <c r="E114" s="597"/>
      <c r="F114" s="597"/>
      <c r="G114" s="597"/>
      <c r="H114" s="597"/>
      <c r="I114" s="1109"/>
      <c r="J114" s="597"/>
      <c r="K114" s="597"/>
      <c r="L114" s="597"/>
      <c r="M114" s="597"/>
      <c r="N114" s="597"/>
      <c r="O114" s="597"/>
      <c r="P114" s="597"/>
      <c r="Q114" s="875"/>
      <c r="R114" s="969"/>
      <c r="T114" s="597"/>
      <c r="U114" s="597"/>
    </row>
    <row r="115" spans="1:21" s="595" customFormat="1" hidden="1" x14ac:dyDescent="0.2">
      <c r="A115" s="876"/>
      <c r="B115" s="813"/>
      <c r="C115" s="657"/>
      <c r="D115" s="595" t="s">
        <v>3740</v>
      </c>
      <c r="E115" s="597"/>
      <c r="F115" s="597"/>
      <c r="G115" s="597"/>
      <c r="H115" s="1160">
        <f>H113</f>
        <v>0</v>
      </c>
      <c r="I115" s="1490">
        <f>IF(D112=1,0,AB_Eingabe!$J$48)</f>
        <v>0</v>
      </c>
      <c r="J115" s="597"/>
      <c r="K115" s="597"/>
      <c r="L115" s="597"/>
      <c r="M115" s="597"/>
      <c r="N115" s="597"/>
      <c r="O115" s="597"/>
      <c r="P115" s="597"/>
      <c r="Q115" s="597"/>
      <c r="R115" s="969"/>
      <c r="T115" s="597"/>
      <c r="U115" s="597"/>
    </row>
    <row r="116" spans="1:21" s="595" customFormat="1" hidden="1" x14ac:dyDescent="0.2">
      <c r="A116" s="876"/>
      <c r="B116" s="813"/>
      <c r="C116" s="657"/>
      <c r="D116" s="1267" t="s">
        <v>3741</v>
      </c>
      <c r="E116" s="1024"/>
      <c r="F116" s="1024" t="s">
        <v>4513</v>
      </c>
      <c r="G116" s="1488">
        <f>IF(AB_Eingabe!$J$48="",1,0)</f>
        <v>1</v>
      </c>
      <c r="H116" s="1160">
        <f>H113</f>
        <v>0</v>
      </c>
      <c r="I116" s="1491">
        <f>IF(AND($I$115&gt;=0,$G$116=0),$I$115,$I$113)</f>
        <v>0</v>
      </c>
      <c r="J116" s="597"/>
      <c r="K116" s="597">
        <f>K113</f>
        <v>0</v>
      </c>
      <c r="L116" s="597">
        <f t="shared" ref="L116:M116" si="3">L113</f>
        <v>0</v>
      </c>
      <c r="M116" s="597">
        <f t="shared" si="3"/>
        <v>0</v>
      </c>
      <c r="N116" s="597"/>
      <c r="O116" s="597"/>
      <c r="P116" s="597"/>
      <c r="Q116" s="1025" t="s">
        <v>4514</v>
      </c>
      <c r="R116" s="969"/>
      <c r="T116" s="597"/>
      <c r="U116" s="597"/>
    </row>
    <row r="117" spans="1:21" s="595" customFormat="1" hidden="1" x14ac:dyDescent="0.2">
      <c r="A117" s="876"/>
      <c r="B117" s="813"/>
      <c r="C117" s="657"/>
      <c r="E117" s="597"/>
      <c r="F117" s="597"/>
      <c r="G117" s="597"/>
      <c r="H117" s="1160"/>
      <c r="I117" s="1109"/>
      <c r="J117" s="597"/>
      <c r="K117" s="597"/>
      <c r="L117" s="597"/>
      <c r="M117" s="597"/>
      <c r="N117" s="597"/>
      <c r="O117" s="597"/>
      <c r="P117" s="597"/>
      <c r="Q117" s="875"/>
      <c r="R117" s="969"/>
      <c r="T117" s="597"/>
      <c r="U117" s="597"/>
    </row>
    <row r="118" spans="1:21" s="595" customFormat="1" hidden="1" x14ac:dyDescent="0.2">
      <c r="A118" s="876"/>
      <c r="B118" s="813"/>
      <c r="C118" s="657"/>
      <c r="D118" s="595" t="s">
        <v>3538</v>
      </c>
      <c r="E118" s="597"/>
      <c r="F118" s="597"/>
      <c r="G118" s="597"/>
      <c r="H118" s="1160"/>
      <c r="I118" s="1109"/>
      <c r="J118" s="597"/>
      <c r="K118" s="597"/>
      <c r="L118" s="597"/>
      <c r="M118" s="597"/>
      <c r="N118" s="597"/>
      <c r="O118" s="597"/>
      <c r="P118" s="597"/>
      <c r="Q118" s="875"/>
      <c r="R118" s="969"/>
      <c r="T118" s="597"/>
      <c r="U118" s="597"/>
    </row>
    <row r="119" spans="1:21" s="595" customFormat="1" hidden="1" x14ac:dyDescent="0.2">
      <c r="A119" s="876"/>
      <c r="B119" s="813"/>
      <c r="C119" s="657"/>
      <c r="D119" s="595" t="s">
        <v>3539</v>
      </c>
      <c r="E119" s="597"/>
      <c r="F119" s="597"/>
      <c r="G119" s="597"/>
      <c r="H119" s="1160">
        <f>VLOOKUP($D$112,$C$12:$Q$73,$Q$9,FALSE)</f>
        <v>0</v>
      </c>
      <c r="I119" s="1490">
        <f>AB_Eingabe!$H$48</f>
        <v>0</v>
      </c>
      <c r="J119" s="597"/>
      <c r="K119" s="597">
        <f>$I$119</f>
        <v>0</v>
      </c>
      <c r="L119" s="597">
        <f>$I$119</f>
        <v>0</v>
      </c>
      <c r="M119" s="597">
        <f>$I$119</f>
        <v>0</v>
      </c>
      <c r="N119" s="597"/>
      <c r="O119" s="597"/>
      <c r="P119" s="597"/>
      <c r="Q119" s="875"/>
      <c r="R119" s="969"/>
      <c r="T119" s="597"/>
      <c r="U119" s="597"/>
    </row>
    <row r="120" spans="1:21" s="595" customFormat="1" hidden="1" x14ac:dyDescent="0.2">
      <c r="A120" s="876"/>
      <c r="B120" s="813"/>
      <c r="C120" s="657"/>
      <c r="D120" s="595" t="s">
        <v>3541</v>
      </c>
      <c r="E120" s="597"/>
      <c r="F120" s="597"/>
      <c r="G120" s="597"/>
      <c r="H120" s="1160">
        <f>H113</f>
        <v>0</v>
      </c>
      <c r="I120" s="1490">
        <f>$I$116</f>
        <v>0</v>
      </c>
      <c r="J120" s="597"/>
      <c r="K120" s="597">
        <f>K116</f>
        <v>0</v>
      </c>
      <c r="L120" s="597">
        <f t="shared" ref="L120:M120" si="4">L116</f>
        <v>0</v>
      </c>
      <c r="M120" s="597">
        <f t="shared" si="4"/>
        <v>0</v>
      </c>
      <c r="N120" s="597"/>
      <c r="O120" s="597"/>
      <c r="P120" s="597"/>
      <c r="Q120" s="875"/>
      <c r="R120" s="969"/>
      <c r="T120" s="597"/>
      <c r="U120" s="597"/>
    </row>
    <row r="121" spans="1:21" s="595" customFormat="1" hidden="1" x14ac:dyDescent="0.2">
      <c r="A121" s="876"/>
      <c r="B121" s="813"/>
      <c r="C121" s="657"/>
      <c r="D121" s="595" t="s">
        <v>3540</v>
      </c>
      <c r="E121" s="597"/>
      <c r="F121" s="597"/>
      <c r="G121" s="597"/>
      <c r="H121" s="1160" t="s">
        <v>3309</v>
      </c>
      <c r="I121" s="1490">
        <f>$I$119*$I$120</f>
        <v>0</v>
      </c>
      <c r="J121" s="597"/>
      <c r="K121" s="597">
        <f>K119*K120</f>
        <v>0</v>
      </c>
      <c r="L121" s="597">
        <f t="shared" ref="L121:M121" si="5">L119*L120</f>
        <v>0</v>
      </c>
      <c r="M121" s="597">
        <f t="shared" si="5"/>
        <v>0</v>
      </c>
      <c r="N121" s="597"/>
      <c r="O121" s="597"/>
      <c r="P121" s="597"/>
      <c r="Q121" s="875"/>
      <c r="R121" s="969"/>
      <c r="T121" s="597"/>
      <c r="U121" s="597"/>
    </row>
    <row r="122" spans="1:21" s="595" customFormat="1" hidden="1" x14ac:dyDescent="0.2">
      <c r="A122" s="876"/>
      <c r="B122" s="813"/>
      <c r="C122" s="657"/>
      <c r="D122" s="595" t="s">
        <v>3542</v>
      </c>
      <c r="E122" s="597"/>
      <c r="F122" s="597"/>
      <c r="G122" s="597"/>
      <c r="H122" s="1496"/>
      <c r="I122" s="1109">
        <f>VLOOKUP(D112,$C$12:$Q$73,$H$9,FALSE)</f>
        <v>0</v>
      </c>
      <c r="J122" s="597"/>
      <c r="K122" s="597"/>
      <c r="L122" s="597"/>
      <c r="M122" s="597"/>
      <c r="N122" s="597"/>
      <c r="O122" s="597"/>
      <c r="P122" s="597"/>
      <c r="Q122" s="875"/>
      <c r="R122" s="969"/>
      <c r="T122" s="597"/>
      <c r="U122" s="597"/>
    </row>
    <row r="123" spans="1:21" s="595" customFormat="1" hidden="1" x14ac:dyDescent="0.2">
      <c r="A123" s="876"/>
      <c r="B123" s="813"/>
      <c r="C123" s="657"/>
      <c r="D123" s="595" t="s">
        <v>4147</v>
      </c>
      <c r="E123" s="597"/>
      <c r="F123" s="597"/>
      <c r="G123" s="597"/>
      <c r="H123" s="1496"/>
      <c r="I123" s="1490">
        <f>I121*I122</f>
        <v>0</v>
      </c>
      <c r="J123" s="597"/>
      <c r="K123" s="597"/>
      <c r="L123" s="597"/>
      <c r="M123" s="597"/>
      <c r="N123" s="597"/>
      <c r="O123" s="597"/>
      <c r="P123" s="597"/>
      <c r="Q123" s="875"/>
      <c r="R123" s="969"/>
      <c r="T123" s="597"/>
      <c r="U123" s="597"/>
    </row>
    <row r="124" spans="1:21" s="595" customFormat="1" hidden="1" x14ac:dyDescent="0.2">
      <c r="A124" s="876"/>
      <c r="B124" s="813"/>
      <c r="C124" s="657"/>
      <c r="D124" s="1497" t="s">
        <v>4146</v>
      </c>
      <c r="E124" s="1498"/>
      <c r="F124" s="1498"/>
      <c r="G124" s="1498"/>
      <c r="H124" s="1499" t="s">
        <v>3309</v>
      </c>
      <c r="I124" s="1500">
        <v>17</v>
      </c>
      <c r="J124" s="597"/>
      <c r="K124" s="597"/>
      <c r="L124" s="597"/>
      <c r="M124" s="597"/>
      <c r="N124" s="597"/>
      <c r="O124" s="597"/>
      <c r="P124" s="597"/>
      <c r="Q124" s="875"/>
      <c r="R124" s="969"/>
      <c r="T124" s="597"/>
      <c r="U124" s="597"/>
    </row>
    <row r="125" spans="1:21" s="595" customFormat="1" hidden="1" x14ac:dyDescent="0.2">
      <c r="A125" s="876"/>
      <c r="B125" s="813"/>
      <c r="C125" s="657"/>
      <c r="D125" s="595" t="s">
        <v>3543</v>
      </c>
      <c r="E125" s="597"/>
      <c r="F125" s="597"/>
      <c r="G125" s="597"/>
      <c r="H125" s="1160" t="s">
        <v>3309</v>
      </c>
      <c r="I125" s="1490">
        <f>IF(AND(ISBLANK(AB_Eingabe!$H$48),AB_Eingabe!$M$49&gt;1),Due_org!$I$124,Due_org!$I$123)</f>
        <v>0</v>
      </c>
      <c r="J125" s="597"/>
      <c r="K125" s="597"/>
      <c r="L125" s="597"/>
      <c r="M125" s="597"/>
      <c r="N125" s="597"/>
      <c r="O125" s="597"/>
      <c r="P125" s="597"/>
      <c r="Q125" s="875"/>
      <c r="R125" s="969"/>
      <c r="T125" s="597"/>
      <c r="U125" s="597"/>
    </row>
    <row r="126" spans="1:21" s="595" customFormat="1" hidden="1" x14ac:dyDescent="0.2">
      <c r="A126" s="876"/>
      <c r="B126" s="813"/>
      <c r="C126" s="657"/>
      <c r="E126" s="597"/>
      <c r="F126" s="597"/>
      <c r="G126" s="597"/>
      <c r="H126" s="1160"/>
      <c r="I126" s="1109"/>
      <c r="J126" s="597"/>
      <c r="K126" s="597"/>
      <c r="L126" s="597"/>
      <c r="M126" s="597"/>
      <c r="N126" s="597"/>
      <c r="O126" s="597"/>
      <c r="P126" s="597"/>
      <c r="Q126" s="875"/>
      <c r="R126" s="969"/>
      <c r="T126" s="597"/>
      <c r="U126" s="597"/>
    </row>
    <row r="127" spans="1:21" s="595" customFormat="1" hidden="1" x14ac:dyDescent="0.2">
      <c r="A127" s="876"/>
      <c r="B127" s="813"/>
      <c r="C127" s="657"/>
      <c r="D127" s="1436" t="s">
        <v>3810</v>
      </c>
      <c r="E127" s="597"/>
      <c r="F127" s="597"/>
      <c r="G127" s="597"/>
      <c r="H127" s="1160"/>
      <c r="I127" s="1109"/>
      <c r="J127" s="597"/>
      <c r="K127" s="597"/>
      <c r="L127" s="597"/>
      <c r="M127" s="597"/>
      <c r="N127" s="597"/>
      <c r="O127" s="597"/>
      <c r="P127" s="597"/>
      <c r="Q127" s="875"/>
      <c r="R127" s="969"/>
      <c r="T127" s="597"/>
      <c r="U127" s="597"/>
    </row>
    <row r="128" spans="1:21" s="595" customFormat="1" hidden="1" x14ac:dyDescent="0.2">
      <c r="A128" s="876"/>
      <c r="B128" s="813"/>
      <c r="C128" s="657"/>
      <c r="D128" s="584">
        <f>AB_Eingabe!M52</f>
        <v>1</v>
      </c>
      <c r="E128" s="597"/>
      <c r="F128" s="597"/>
      <c r="G128" s="597"/>
      <c r="H128" s="1160"/>
      <c r="I128" s="1109"/>
      <c r="J128" s="597"/>
      <c r="K128" s="597"/>
      <c r="L128" s="597"/>
      <c r="M128" s="597"/>
      <c r="N128" s="597"/>
      <c r="O128" s="597"/>
      <c r="P128" s="597"/>
      <c r="Q128" s="875"/>
      <c r="R128" s="969"/>
      <c r="T128" s="597"/>
      <c r="U128" s="597"/>
    </row>
    <row r="129" spans="1:21" s="595" customFormat="1" hidden="1" x14ac:dyDescent="0.2">
      <c r="A129" s="876"/>
      <c r="B129" s="813"/>
      <c r="C129" s="657"/>
      <c r="D129" s="595" t="str">
        <f>VLOOKUP(AB_Eingabe!$M$52,$C$12:$D$69,$D$9,FALSE)</f>
        <v>keine organ./organ.-mineral. Düngung</v>
      </c>
      <c r="E129" s="597"/>
      <c r="F129" s="597"/>
      <c r="G129" s="597"/>
      <c r="H129" s="1160">
        <f>VLOOKUP($D$128,$C$12:$Q$69,$P$9,FALSE)</f>
        <v>0</v>
      </c>
      <c r="I129" s="1109">
        <f>VLOOKUP($D$128,$C$12:$Q$69,$I$9,FALSE)</f>
        <v>0</v>
      </c>
      <c r="J129" s="597"/>
      <c r="K129" s="597"/>
      <c r="L129" s="597"/>
      <c r="M129" s="597"/>
      <c r="N129" s="597"/>
      <c r="O129" s="597"/>
      <c r="P129" s="597"/>
      <c r="Q129" s="875"/>
      <c r="R129" s="969"/>
      <c r="T129" s="597"/>
      <c r="U129" s="597"/>
    </row>
    <row r="130" spans="1:21" s="595" customFormat="1" hidden="1" x14ac:dyDescent="0.2">
      <c r="A130" s="876"/>
      <c r="B130" s="813"/>
      <c r="C130" s="657"/>
      <c r="E130" s="597"/>
      <c r="F130" s="597"/>
      <c r="G130" s="597"/>
      <c r="H130" s="1160"/>
      <c r="I130" s="1109"/>
      <c r="J130" s="597"/>
      <c r="K130" s="597"/>
      <c r="L130" s="597"/>
      <c r="M130" s="597"/>
      <c r="N130" s="597"/>
      <c r="O130" s="597"/>
      <c r="P130" s="597"/>
      <c r="Q130" s="875"/>
      <c r="R130" s="969"/>
      <c r="T130" s="597"/>
      <c r="U130" s="597"/>
    </row>
    <row r="131" spans="1:21" s="595" customFormat="1" hidden="1" x14ac:dyDescent="0.2">
      <c r="A131" s="876"/>
      <c r="B131" s="813"/>
      <c r="C131" s="657"/>
      <c r="D131" s="595" t="s">
        <v>3740</v>
      </c>
      <c r="E131" s="597"/>
      <c r="F131" s="597"/>
      <c r="G131" s="597"/>
      <c r="H131" s="1160">
        <f>H129</f>
        <v>0</v>
      </c>
      <c r="I131" s="1109">
        <f>IF(D128=1,0,AB_Eingabe!$J$52)</f>
        <v>0</v>
      </c>
      <c r="J131" s="597"/>
      <c r="K131" s="597"/>
      <c r="L131" s="597"/>
      <c r="M131" s="597"/>
      <c r="N131" s="597"/>
      <c r="O131" s="597"/>
      <c r="P131" s="597"/>
      <c r="Q131" s="875"/>
      <c r="R131" s="969"/>
      <c r="T131" s="597"/>
      <c r="U131" s="597"/>
    </row>
    <row r="132" spans="1:21" s="595" customFormat="1" hidden="1" x14ac:dyDescent="0.2">
      <c r="A132" s="876"/>
      <c r="B132" s="813"/>
      <c r="C132" s="657"/>
      <c r="D132" s="1267" t="s">
        <v>3741</v>
      </c>
      <c r="E132" s="1488"/>
      <c r="F132" s="1024" t="s">
        <v>4513</v>
      </c>
      <c r="G132" s="1488">
        <f>IF(AB_Eingabe!$J$52="",1,0)</f>
        <v>1</v>
      </c>
      <c r="H132" s="1160">
        <f>H129</f>
        <v>0</v>
      </c>
      <c r="I132" s="1489">
        <f>IF(AND(I131&gt;=0,G132=0),I131,I129)</f>
        <v>0</v>
      </c>
      <c r="J132" s="597"/>
      <c r="K132" s="597"/>
      <c r="L132" s="597"/>
      <c r="M132" s="597"/>
      <c r="N132" s="597"/>
      <c r="O132" s="597"/>
      <c r="P132" s="597"/>
      <c r="Q132" s="1025" t="s">
        <v>4514</v>
      </c>
      <c r="R132" s="969"/>
      <c r="T132" s="597"/>
      <c r="U132" s="597"/>
    </row>
    <row r="133" spans="1:21" s="595" customFormat="1" hidden="1" x14ac:dyDescent="0.2">
      <c r="A133" s="876"/>
      <c r="B133" s="813"/>
      <c r="C133" s="657"/>
      <c r="E133" s="597"/>
      <c r="F133" s="597"/>
      <c r="G133" s="597"/>
      <c r="H133" s="1160"/>
      <c r="I133" s="1109"/>
      <c r="J133" s="597"/>
      <c r="K133" s="597"/>
      <c r="L133" s="597"/>
      <c r="M133" s="597"/>
      <c r="N133" s="597"/>
      <c r="O133" s="597"/>
      <c r="P133" s="597"/>
      <c r="Q133" s="875"/>
      <c r="R133" s="969"/>
      <c r="T133" s="597"/>
      <c r="U133" s="597"/>
    </row>
    <row r="134" spans="1:21" s="595" customFormat="1" hidden="1" x14ac:dyDescent="0.2">
      <c r="A134" s="876"/>
      <c r="B134" s="813"/>
      <c r="C134" s="657"/>
      <c r="D134" s="595" t="s">
        <v>3538</v>
      </c>
      <c r="E134" s="597"/>
      <c r="F134" s="597"/>
      <c r="G134" s="597"/>
      <c r="H134" s="1160"/>
      <c r="I134" s="1109"/>
      <c r="J134" s="597"/>
      <c r="K134" s="597"/>
      <c r="L134" s="597"/>
      <c r="M134" s="597"/>
      <c r="N134" s="597"/>
      <c r="O134" s="597"/>
      <c r="P134" s="597"/>
      <c r="Q134" s="875"/>
      <c r="R134" s="969"/>
      <c r="T134" s="597"/>
      <c r="U134" s="597"/>
    </row>
    <row r="135" spans="1:21" s="595" customFormat="1" hidden="1" x14ac:dyDescent="0.2">
      <c r="A135" s="876"/>
      <c r="B135" s="813"/>
      <c r="C135" s="657"/>
      <c r="D135" s="595" t="s">
        <v>3539</v>
      </c>
      <c r="E135" s="597"/>
      <c r="F135" s="597"/>
      <c r="G135" s="597"/>
      <c r="H135" s="1160">
        <f>VLOOKUP($D$128,$C$12:$Q$69,$Q$9,FALSE)</f>
        <v>0</v>
      </c>
      <c r="I135" s="1109">
        <f>AB_Eingabe!H52</f>
        <v>0</v>
      </c>
      <c r="J135" s="597"/>
      <c r="K135" s="597"/>
      <c r="L135" s="597"/>
      <c r="M135" s="597"/>
      <c r="N135" s="597"/>
      <c r="O135" s="597"/>
      <c r="P135" s="597"/>
      <c r="Q135" s="875"/>
      <c r="R135" s="969"/>
      <c r="T135" s="597"/>
      <c r="U135" s="597"/>
    </row>
    <row r="136" spans="1:21" s="595" customFormat="1" hidden="1" x14ac:dyDescent="0.2">
      <c r="A136" s="876"/>
      <c r="B136" s="813"/>
      <c r="C136" s="657"/>
      <c r="D136" s="595" t="s">
        <v>3541</v>
      </c>
      <c r="E136" s="597"/>
      <c r="F136" s="597"/>
      <c r="G136" s="597"/>
      <c r="H136" s="1160">
        <f>H129</f>
        <v>0</v>
      </c>
      <c r="I136" s="1109">
        <f>I132</f>
        <v>0</v>
      </c>
      <c r="J136" s="597"/>
      <c r="K136" s="597"/>
      <c r="L136" s="597"/>
      <c r="M136" s="597"/>
      <c r="N136" s="597"/>
      <c r="O136" s="597"/>
      <c r="P136" s="597"/>
      <c r="Q136" s="875"/>
      <c r="R136" s="969"/>
      <c r="T136" s="597"/>
      <c r="U136" s="597"/>
    </row>
    <row r="137" spans="1:21" s="595" customFormat="1" hidden="1" x14ac:dyDescent="0.2">
      <c r="A137" s="876"/>
      <c r="B137" s="813"/>
      <c r="C137" s="657"/>
      <c r="D137" s="595" t="s">
        <v>3540</v>
      </c>
      <c r="E137" s="597"/>
      <c r="F137" s="597"/>
      <c r="G137" s="597"/>
      <c r="H137" s="1160" t="s">
        <v>3309</v>
      </c>
      <c r="I137" s="1109">
        <f>I135*I136</f>
        <v>0</v>
      </c>
      <c r="J137" s="597"/>
      <c r="K137" s="597"/>
      <c r="L137" s="597"/>
      <c r="M137" s="597"/>
      <c r="N137" s="597"/>
      <c r="O137" s="597"/>
      <c r="P137" s="597"/>
      <c r="Q137" s="875"/>
      <c r="R137" s="969"/>
      <c r="T137" s="597"/>
      <c r="U137" s="597"/>
    </row>
    <row r="138" spans="1:21" s="595" customFormat="1" hidden="1" x14ac:dyDescent="0.2">
      <c r="A138" s="876"/>
      <c r="B138" s="813"/>
      <c r="C138" s="657"/>
      <c r="D138" s="595" t="s">
        <v>3542</v>
      </c>
      <c r="E138" s="597"/>
      <c r="F138" s="597"/>
      <c r="G138" s="597"/>
      <c r="H138" s="1496">
        <v>0.1</v>
      </c>
      <c r="I138" s="1109">
        <f>VLOOKUP($D$128,$C$12:$Q$69,$H$9,FALSE)</f>
        <v>0</v>
      </c>
      <c r="J138" s="597"/>
      <c r="K138" s="597"/>
      <c r="L138" s="597"/>
      <c r="M138" s="597"/>
      <c r="N138" s="597"/>
      <c r="O138" s="597"/>
      <c r="P138" s="597"/>
      <c r="Q138" s="875"/>
      <c r="R138" s="969"/>
      <c r="T138" s="597"/>
      <c r="U138" s="597"/>
    </row>
    <row r="139" spans="1:21" s="595" customFormat="1" hidden="1" x14ac:dyDescent="0.2">
      <c r="A139" s="876"/>
      <c r="B139" s="813"/>
      <c r="C139" s="657"/>
      <c r="D139" s="595" t="s">
        <v>4147</v>
      </c>
      <c r="E139" s="597"/>
      <c r="F139" s="597"/>
      <c r="G139" s="597"/>
      <c r="H139" s="1496"/>
      <c r="I139" s="1109">
        <f>$I$137*$I$138</f>
        <v>0</v>
      </c>
      <c r="J139" s="597"/>
      <c r="K139" s="597"/>
      <c r="L139" s="597"/>
      <c r="M139" s="597"/>
      <c r="N139" s="597"/>
      <c r="O139" s="597"/>
      <c r="P139" s="597"/>
      <c r="Q139" s="875"/>
      <c r="R139" s="969"/>
      <c r="T139" s="597"/>
      <c r="U139" s="597"/>
    </row>
    <row r="140" spans="1:21" s="595" customFormat="1" hidden="1" x14ac:dyDescent="0.2">
      <c r="A140" s="876"/>
      <c r="B140" s="813"/>
      <c r="C140" s="657"/>
      <c r="D140" s="1497" t="s">
        <v>4146</v>
      </c>
      <c r="E140" s="1498"/>
      <c r="F140" s="1498"/>
      <c r="G140" s="1498"/>
      <c r="H140" s="1499" t="s">
        <v>3309</v>
      </c>
      <c r="I140" s="1500">
        <v>17</v>
      </c>
      <c r="J140" s="597"/>
      <c r="K140" s="597"/>
      <c r="L140" s="597"/>
      <c r="M140" s="597"/>
      <c r="N140" s="597"/>
      <c r="O140" s="597"/>
      <c r="P140" s="597"/>
      <c r="Q140" s="875"/>
      <c r="R140" s="969"/>
      <c r="T140" s="597"/>
      <c r="U140" s="597"/>
    </row>
    <row r="141" spans="1:21" s="595" customFormat="1" hidden="1" x14ac:dyDescent="0.2">
      <c r="A141" s="876"/>
      <c r="B141" s="813"/>
      <c r="C141" s="657"/>
      <c r="D141" s="595" t="s">
        <v>3543</v>
      </c>
      <c r="E141" s="597"/>
      <c r="F141" s="597"/>
      <c r="G141" s="597"/>
      <c r="H141" s="1160" t="s">
        <v>3309</v>
      </c>
      <c r="I141" s="1490">
        <f>IF(AND(ISBLANK(AB_Eingabe!$H$52),AB_Eingabe!$M$52&gt;1),Due_org!$I$140,Due_org!$I$139)</f>
        <v>0</v>
      </c>
      <c r="J141" s="597"/>
      <c r="K141" s="597"/>
      <c r="L141" s="597"/>
      <c r="M141" s="597"/>
      <c r="N141" s="597"/>
      <c r="O141" s="597"/>
      <c r="P141" s="597"/>
      <c r="Q141" s="875"/>
      <c r="R141" s="969"/>
      <c r="T141" s="597"/>
      <c r="U141" s="597"/>
    </row>
    <row r="142" spans="1:21" s="595" customFormat="1" hidden="1" x14ac:dyDescent="0.2">
      <c r="A142" s="876"/>
      <c r="B142" s="813"/>
      <c r="C142" s="657"/>
      <c r="E142" s="597"/>
      <c r="F142" s="597"/>
      <c r="G142" s="597"/>
      <c r="H142" s="1160"/>
      <c r="I142" s="1109"/>
      <c r="J142" s="597"/>
      <c r="K142" s="597"/>
      <c r="L142" s="597"/>
      <c r="M142" s="597"/>
      <c r="N142" s="597"/>
      <c r="O142" s="597"/>
      <c r="P142" s="597"/>
      <c r="Q142" s="875"/>
      <c r="R142" s="969"/>
      <c r="T142" s="597"/>
      <c r="U142" s="597"/>
    </row>
    <row r="143" spans="1:21" s="595" customFormat="1" hidden="1" x14ac:dyDescent="0.2">
      <c r="A143" s="876"/>
      <c r="B143" s="813"/>
      <c r="C143" s="657"/>
      <c r="D143" s="1436" t="s">
        <v>4530</v>
      </c>
      <c r="E143" s="597"/>
      <c r="F143" s="597"/>
      <c r="G143" s="597"/>
      <c r="H143" s="1160"/>
      <c r="I143" s="1109"/>
      <c r="J143" s="597"/>
      <c r="K143" s="597"/>
      <c r="L143" s="597"/>
      <c r="M143" s="597"/>
      <c r="N143" s="597"/>
      <c r="O143" s="597"/>
      <c r="P143" s="597"/>
      <c r="Q143" s="875"/>
      <c r="R143" s="969"/>
      <c r="T143" s="597"/>
      <c r="U143" s="597"/>
    </row>
    <row r="144" spans="1:21" s="595" customFormat="1" hidden="1" x14ac:dyDescent="0.2">
      <c r="A144" s="876"/>
      <c r="B144" s="813"/>
      <c r="C144" s="657"/>
      <c r="D144" s="726">
        <f>AB_Eingabe!$M$56+$C$69</f>
        <v>62</v>
      </c>
      <c r="E144" s="597"/>
      <c r="F144" s="597"/>
      <c r="G144" s="597"/>
      <c r="H144" s="1160"/>
      <c r="I144" s="1109"/>
      <c r="J144" s="597"/>
      <c r="K144" s="597"/>
      <c r="L144" s="597"/>
      <c r="M144" s="597"/>
      <c r="N144" s="597"/>
      <c r="O144" s="597"/>
      <c r="P144" s="597"/>
      <c r="Q144" s="875"/>
      <c r="R144" s="969"/>
      <c r="T144" s="597"/>
      <c r="U144" s="597"/>
    </row>
    <row r="145" spans="1:21" s="595" customFormat="1" hidden="1" x14ac:dyDescent="0.2">
      <c r="A145" s="876"/>
      <c r="B145" s="813"/>
      <c r="C145" s="657"/>
      <c r="D145" s="595" t="str">
        <f>VLOOKUP(AB_Eingabe!$M$56+$C$69,$C$12:$D$73,$D$9,FALSE)</f>
        <v>keine Düngung mit Kompost</v>
      </c>
      <c r="E145" s="597"/>
      <c r="F145" s="597"/>
      <c r="G145" s="597"/>
      <c r="H145" s="1160">
        <f>VLOOKUP($D$144,$C$12:$Q$73,$P$9,FALSE)</f>
        <v>0</v>
      </c>
      <c r="I145" s="1109">
        <f>VLOOKUP(D144,$C$12:$Q$73,$I$9,FALSE)</f>
        <v>0</v>
      </c>
      <c r="J145" s="597"/>
      <c r="K145" s="597"/>
      <c r="L145" s="597"/>
      <c r="M145" s="597"/>
      <c r="N145" s="597"/>
      <c r="O145" s="597"/>
      <c r="P145" s="597"/>
      <c r="Q145" s="875"/>
      <c r="R145" s="969"/>
      <c r="T145" s="597"/>
      <c r="U145" s="597"/>
    </row>
    <row r="146" spans="1:21" s="595" customFormat="1" hidden="1" x14ac:dyDescent="0.2">
      <c r="A146" s="876"/>
      <c r="B146" s="813"/>
      <c r="C146" s="657"/>
      <c r="E146" s="597"/>
      <c r="F146" s="597"/>
      <c r="G146" s="597"/>
      <c r="H146" s="1160"/>
      <c r="I146" s="1109"/>
      <c r="J146" s="597"/>
      <c r="K146" s="597"/>
      <c r="L146" s="597"/>
      <c r="M146" s="597"/>
      <c r="N146" s="597"/>
      <c r="O146" s="597"/>
      <c r="P146" s="597"/>
      <c r="Q146" s="875"/>
      <c r="R146" s="969"/>
      <c r="T146" s="597"/>
      <c r="U146" s="597"/>
    </row>
    <row r="147" spans="1:21" s="595" customFormat="1" hidden="1" x14ac:dyDescent="0.2">
      <c r="A147" s="876"/>
      <c r="B147" s="813"/>
      <c r="C147" s="657"/>
      <c r="D147" s="595" t="s">
        <v>3740</v>
      </c>
      <c r="E147" s="597"/>
      <c r="F147" s="597"/>
      <c r="G147" s="597"/>
      <c r="H147" s="1160">
        <f>H145</f>
        <v>0</v>
      </c>
      <c r="I147" s="1109">
        <f>IF(D144=63,0,AB_Eingabe!$J$56)</f>
        <v>0</v>
      </c>
      <c r="J147" s="597"/>
      <c r="K147" s="597"/>
      <c r="L147" s="597"/>
      <c r="M147" s="597"/>
      <c r="N147" s="597"/>
      <c r="O147" s="597"/>
      <c r="P147" s="597"/>
      <c r="Q147" s="875"/>
      <c r="R147" s="969"/>
      <c r="T147" s="597"/>
      <c r="U147" s="597"/>
    </row>
    <row r="148" spans="1:21" s="595" customFormat="1" hidden="1" x14ac:dyDescent="0.2">
      <c r="A148" s="876"/>
      <c r="B148" s="813"/>
      <c r="C148" s="657"/>
      <c r="D148" s="1267" t="s">
        <v>3741</v>
      </c>
      <c r="E148" s="1488"/>
      <c r="F148" s="1024" t="s">
        <v>4513</v>
      </c>
      <c r="G148" s="1488">
        <f>IF(AB_Eingabe!$J$56="",1,0)</f>
        <v>1</v>
      </c>
      <c r="H148" s="1160">
        <f>H145</f>
        <v>0</v>
      </c>
      <c r="I148" s="1489">
        <f>IF(AND(I147&gt;=0,G148=0),I147,I145)</f>
        <v>0</v>
      </c>
      <c r="J148" s="597"/>
      <c r="K148" s="597"/>
      <c r="L148" s="597"/>
      <c r="M148" s="597"/>
      <c r="N148" s="597"/>
      <c r="O148" s="597"/>
      <c r="P148" s="597"/>
      <c r="Q148" s="1025" t="s">
        <v>4514</v>
      </c>
      <c r="R148" s="969"/>
      <c r="T148" s="597"/>
      <c r="U148" s="597"/>
    </row>
    <row r="149" spans="1:21" s="595" customFormat="1" hidden="1" x14ac:dyDescent="0.2">
      <c r="A149" s="876"/>
      <c r="B149" s="813"/>
      <c r="C149" s="657"/>
      <c r="E149" s="597"/>
      <c r="F149" s="597"/>
      <c r="G149" s="597"/>
      <c r="H149" s="1160"/>
      <c r="I149" s="1109"/>
      <c r="J149" s="597"/>
      <c r="K149" s="597"/>
      <c r="L149" s="597"/>
      <c r="M149" s="597"/>
      <c r="N149" s="597"/>
      <c r="O149" s="597"/>
      <c r="P149" s="597"/>
      <c r="Q149" s="875"/>
      <c r="R149" s="969"/>
      <c r="T149" s="597"/>
      <c r="U149" s="597"/>
    </row>
    <row r="150" spans="1:21" s="595" customFormat="1" hidden="1" x14ac:dyDescent="0.2">
      <c r="A150" s="876"/>
      <c r="B150" s="813"/>
      <c r="C150" s="657"/>
      <c r="D150" s="595" t="s">
        <v>3538</v>
      </c>
      <c r="E150" s="597"/>
      <c r="F150" s="597"/>
      <c r="G150" s="597"/>
      <c r="H150" s="1160" t="s">
        <v>4531</v>
      </c>
      <c r="I150" s="597" t="s">
        <v>4532</v>
      </c>
      <c r="J150" s="597" t="s">
        <v>4533</v>
      </c>
      <c r="K150" s="597" t="s">
        <v>4534</v>
      </c>
      <c r="L150" s="597"/>
      <c r="M150" s="597"/>
      <c r="N150" s="597"/>
      <c r="O150" s="597"/>
      <c r="P150" s="597"/>
      <c r="Q150" s="875"/>
      <c r="R150" s="969"/>
      <c r="T150" s="597"/>
      <c r="U150" s="597"/>
    </row>
    <row r="151" spans="1:21" s="595" customFormat="1" hidden="1" x14ac:dyDescent="0.2">
      <c r="A151" s="876"/>
      <c r="B151" s="813"/>
      <c r="C151" s="657"/>
      <c r="D151" s="595" t="s">
        <v>3539</v>
      </c>
      <c r="E151" s="597"/>
      <c r="F151" s="597"/>
      <c r="G151" s="597"/>
      <c r="H151" s="1160">
        <f>VLOOKUP($D$144,$C$12:$Q$73,$Q$9,FALSE)</f>
        <v>0</v>
      </c>
      <c r="I151" s="1109">
        <f>AB_Eingabe!$F$56</f>
        <v>0</v>
      </c>
      <c r="J151" s="1109">
        <f>AB_Eingabe!$G$56</f>
        <v>0</v>
      </c>
      <c r="K151" s="1109">
        <f>AB_Eingabe!$H$56</f>
        <v>0</v>
      </c>
      <c r="L151" s="597"/>
      <c r="M151" s="597"/>
      <c r="N151" s="597"/>
      <c r="O151" s="597"/>
      <c r="P151" s="597"/>
      <c r="Q151" s="875"/>
      <c r="R151" s="969"/>
      <c r="T151" s="597"/>
      <c r="U151" s="597"/>
    </row>
    <row r="152" spans="1:21" s="595" customFormat="1" hidden="1" x14ac:dyDescent="0.2">
      <c r="A152" s="876"/>
      <c r="B152" s="813"/>
      <c r="C152" s="657"/>
      <c r="D152" s="595" t="s">
        <v>3541</v>
      </c>
      <c r="E152" s="597"/>
      <c r="F152" s="597"/>
      <c r="G152" s="597"/>
      <c r="H152" s="1160">
        <f>H145</f>
        <v>0</v>
      </c>
      <c r="I152" s="1109">
        <f>I148</f>
        <v>0</v>
      </c>
      <c r="J152" s="1109">
        <f>I148</f>
        <v>0</v>
      </c>
      <c r="K152" s="1109">
        <f>I148</f>
        <v>0</v>
      </c>
      <c r="L152" s="597"/>
      <c r="M152" s="597"/>
      <c r="N152" s="597"/>
      <c r="O152" s="597"/>
      <c r="P152" s="597"/>
      <c r="Q152" s="875"/>
      <c r="R152" s="969"/>
      <c r="T152" s="597"/>
      <c r="U152" s="597"/>
    </row>
    <row r="153" spans="1:21" s="595" customFormat="1" hidden="1" x14ac:dyDescent="0.2">
      <c r="A153" s="876"/>
      <c r="B153" s="813"/>
      <c r="C153" s="657"/>
      <c r="D153" s="595" t="s">
        <v>3540</v>
      </c>
      <c r="E153" s="597"/>
      <c r="F153" s="597"/>
      <c r="G153" s="597"/>
      <c r="H153" s="1160" t="s">
        <v>3309</v>
      </c>
      <c r="I153" s="1109">
        <f>I151*I152</f>
        <v>0</v>
      </c>
      <c r="J153" s="1109">
        <f>J151*J152</f>
        <v>0</v>
      </c>
      <c r="K153" s="1109">
        <f t="shared" ref="K153" si="6">K151*K152</f>
        <v>0</v>
      </c>
      <c r="L153" s="597"/>
      <c r="M153" s="597"/>
      <c r="N153" s="597"/>
      <c r="O153" s="597"/>
      <c r="P153" s="597"/>
      <c r="Q153" s="875"/>
      <c r="R153" s="969"/>
      <c r="T153" s="597"/>
      <c r="U153" s="597"/>
    </row>
    <row r="154" spans="1:21" s="595" customFormat="1" hidden="1" x14ac:dyDescent="0.2">
      <c r="A154" s="876"/>
      <c r="B154" s="813"/>
      <c r="C154" s="657"/>
      <c r="D154" s="595" t="s">
        <v>3542</v>
      </c>
      <c r="E154" s="597"/>
      <c r="F154" s="597"/>
      <c r="G154" s="597"/>
      <c r="H154" s="1496"/>
      <c r="I154" s="1109">
        <v>0.04</v>
      </c>
      <c r="J154" s="1160">
        <v>0.03</v>
      </c>
      <c r="K154" s="1160">
        <v>0.03</v>
      </c>
      <c r="L154" s="597"/>
      <c r="M154" s="597"/>
      <c r="N154" s="597"/>
      <c r="O154" s="597"/>
      <c r="P154" s="597"/>
      <c r="Q154" s="875"/>
      <c r="R154" s="969"/>
      <c r="T154" s="597"/>
      <c r="U154" s="597"/>
    </row>
    <row r="155" spans="1:21" s="595" customFormat="1" hidden="1" x14ac:dyDescent="0.2">
      <c r="A155" s="876"/>
      <c r="B155" s="813"/>
      <c r="C155" s="657"/>
      <c r="D155" s="595" t="s">
        <v>4147</v>
      </c>
      <c r="E155" s="597"/>
      <c r="F155" s="597"/>
      <c r="G155" s="597"/>
      <c r="H155" s="1496"/>
      <c r="I155" s="1109">
        <f>SUMPRODUCT(I153:K153,I154:K154)</f>
        <v>0</v>
      </c>
      <c r="J155" s="597"/>
      <c r="K155" s="597"/>
      <c r="L155" s="597"/>
      <c r="M155" s="597"/>
      <c r="N155" s="597"/>
      <c r="O155" s="597"/>
      <c r="P155" s="597"/>
      <c r="Q155" s="875"/>
      <c r="R155" s="969"/>
      <c r="T155" s="597"/>
      <c r="U155" s="597"/>
    </row>
    <row r="156" spans="1:21" s="595" customFormat="1" hidden="1" x14ac:dyDescent="0.2">
      <c r="A156" s="876"/>
      <c r="B156" s="813"/>
      <c r="C156" s="657"/>
      <c r="D156" s="1497" t="s">
        <v>4146</v>
      </c>
      <c r="E156" s="1498"/>
      <c r="F156" s="1498"/>
      <c r="G156" s="1498"/>
      <c r="H156" s="1499" t="s">
        <v>3309</v>
      </c>
      <c r="I156" s="1500">
        <v>17</v>
      </c>
      <c r="J156" s="597"/>
      <c r="K156" s="597"/>
      <c r="L156" s="597"/>
      <c r="M156" s="597"/>
      <c r="N156" s="597"/>
      <c r="O156" s="597"/>
      <c r="P156" s="597"/>
      <c r="Q156" s="875"/>
      <c r="R156" s="969"/>
      <c r="T156" s="597"/>
      <c r="U156" s="597"/>
    </row>
    <row r="157" spans="1:21" s="595" customFormat="1" hidden="1" x14ac:dyDescent="0.2">
      <c r="A157" s="876"/>
      <c r="B157" s="813"/>
      <c r="C157" s="657"/>
      <c r="D157" s="595" t="s">
        <v>4540</v>
      </c>
      <c r="E157" s="597"/>
      <c r="F157" s="597"/>
      <c r="G157" s="597"/>
      <c r="H157" s="1160" t="s">
        <v>3309</v>
      </c>
      <c r="I157" s="1490">
        <f>IF(AND(OR(ISBLANK(AB_Eingabe!$F$56),ISBLANK(AB_Eingabe!$G$56),ISBLANK(AB_Eingabe!$H$56)),AB_Eingabe!$M$56&lt;4),Due_org!$I$156,Due_org!$I$155)</f>
        <v>0</v>
      </c>
      <c r="J157" s="597"/>
      <c r="K157" s="597"/>
      <c r="L157" s="597"/>
      <c r="M157" s="597"/>
      <c r="N157" s="597"/>
      <c r="O157" s="597"/>
      <c r="P157" s="597"/>
      <c r="Q157" s="875" t="s">
        <v>4541</v>
      </c>
      <c r="R157" s="969"/>
      <c r="T157" s="597"/>
      <c r="U157" s="597"/>
    </row>
    <row r="158" spans="1:21" s="595" customFormat="1" hidden="1" x14ac:dyDescent="0.2">
      <c r="A158" s="876"/>
      <c r="B158" s="813"/>
      <c r="C158" s="657"/>
      <c r="E158" s="597"/>
      <c r="F158" s="597"/>
      <c r="G158" s="597"/>
      <c r="H158" s="1160"/>
      <c r="I158" s="1109"/>
      <c r="J158" s="597"/>
      <c r="K158" s="597"/>
      <c r="L158" s="597"/>
      <c r="M158" s="597"/>
      <c r="N158" s="597"/>
      <c r="O158" s="597"/>
      <c r="P158" s="597"/>
      <c r="Q158" s="875"/>
      <c r="R158" s="969"/>
      <c r="T158" s="597"/>
      <c r="U158" s="597"/>
    </row>
    <row r="159" spans="1:21" s="595" customFormat="1" hidden="1" x14ac:dyDescent="0.2">
      <c r="A159" s="876"/>
      <c r="B159" s="822"/>
      <c r="C159" s="863"/>
      <c r="D159" s="1009"/>
      <c r="E159" s="1158"/>
      <c r="F159" s="1158"/>
      <c r="G159" s="1158"/>
      <c r="H159" s="1501"/>
      <c r="I159" s="1502"/>
      <c r="J159" s="1158"/>
      <c r="K159" s="1158"/>
      <c r="L159" s="1158"/>
      <c r="M159" s="1158"/>
      <c r="N159" s="1158"/>
      <c r="O159" s="1158"/>
      <c r="P159" s="1158"/>
      <c r="Q159" s="1485"/>
      <c r="R159" s="969"/>
      <c r="T159" s="597"/>
      <c r="U159" s="597"/>
    </row>
    <row r="160" spans="1:21" s="599" customFormat="1" hidden="1" x14ac:dyDescent="0.2">
      <c r="A160" s="929"/>
      <c r="B160" s="952"/>
      <c r="C160" s="953"/>
      <c r="D160" s="933" t="s">
        <v>4142</v>
      </c>
      <c r="E160" s="1169"/>
      <c r="F160" s="1169"/>
      <c r="G160" s="1169"/>
      <c r="H160" s="1170"/>
      <c r="I160" s="1486"/>
      <c r="J160" s="1169"/>
      <c r="K160" s="1169"/>
      <c r="L160" s="1169"/>
      <c r="M160" s="1169"/>
      <c r="N160" s="1169"/>
      <c r="O160" s="1169"/>
      <c r="P160" s="1169"/>
      <c r="Q160" s="1171"/>
      <c r="R160" s="1481"/>
      <c r="T160" s="1114"/>
      <c r="U160" s="1114"/>
    </row>
    <row r="161" spans="1:21" s="595" customFormat="1" hidden="1" x14ac:dyDescent="0.2">
      <c r="A161" s="876"/>
      <c r="B161" s="813"/>
      <c r="C161" s="657"/>
      <c r="E161" s="597"/>
      <c r="F161" s="597"/>
      <c r="G161" s="597"/>
      <c r="H161" s="1160"/>
      <c r="I161" s="1109"/>
      <c r="J161" s="597"/>
      <c r="K161" s="597"/>
      <c r="L161" s="597"/>
      <c r="M161" s="597"/>
      <c r="N161" s="597"/>
      <c r="O161" s="597"/>
      <c r="P161" s="597"/>
      <c r="Q161" s="875"/>
      <c r="R161" s="969"/>
      <c r="T161" s="597"/>
      <c r="U161" s="597"/>
    </row>
    <row r="162" spans="1:21" s="595" customFormat="1" hidden="1" x14ac:dyDescent="0.2">
      <c r="A162" s="876"/>
      <c r="B162" s="813"/>
      <c r="C162" s="657"/>
      <c r="D162" s="595" t="s">
        <v>4135</v>
      </c>
      <c r="E162" s="597"/>
      <c r="F162" s="597"/>
      <c r="G162" s="597"/>
      <c r="H162" s="1160"/>
      <c r="I162" s="1109"/>
      <c r="J162" s="597"/>
      <c r="K162" s="597"/>
      <c r="L162" s="597"/>
      <c r="M162" s="597"/>
      <c r="N162" s="597"/>
      <c r="O162" s="597"/>
      <c r="P162" s="597"/>
      <c r="Q162" s="875"/>
      <c r="R162" s="969"/>
      <c r="T162" s="597"/>
      <c r="U162" s="597"/>
    </row>
    <row r="163" spans="1:21" s="595" customFormat="1" hidden="1" x14ac:dyDescent="0.2">
      <c r="A163" s="876"/>
      <c r="B163" s="813"/>
      <c r="C163" s="657"/>
      <c r="D163" s="591"/>
      <c r="E163" s="597"/>
      <c r="F163" s="597"/>
      <c r="G163" s="597"/>
      <c r="H163" s="1160"/>
      <c r="I163" s="1109"/>
      <c r="J163" s="597"/>
      <c r="K163" s="597"/>
      <c r="L163" s="597"/>
      <c r="M163" s="597"/>
      <c r="N163" s="597"/>
      <c r="O163" s="597"/>
      <c r="P163" s="597"/>
      <c r="Q163" s="875"/>
      <c r="R163" s="969"/>
      <c r="T163" s="597"/>
      <c r="U163" s="597"/>
    </row>
    <row r="164" spans="1:21" s="595" customFormat="1" hidden="1" x14ac:dyDescent="0.2">
      <c r="A164" s="876"/>
      <c r="B164" s="813"/>
      <c r="C164" s="657"/>
      <c r="D164" s="726">
        <f>AB_Eingabe!M72</f>
        <v>1</v>
      </c>
      <c r="E164" s="597"/>
      <c r="F164" s="597"/>
      <c r="G164" s="597"/>
      <c r="H164" s="1160"/>
      <c r="I164" s="1109" t="s">
        <v>3537</v>
      </c>
      <c r="J164" s="597"/>
      <c r="K164" s="600" t="s">
        <v>3828</v>
      </c>
      <c r="L164" s="600" t="s">
        <v>3569</v>
      </c>
      <c r="M164" s="600" t="s">
        <v>3573</v>
      </c>
      <c r="N164" s="597"/>
      <c r="O164" s="597"/>
      <c r="P164" s="597"/>
      <c r="Q164" s="875"/>
      <c r="R164" s="969"/>
      <c r="T164" s="597"/>
      <c r="U164" s="597"/>
    </row>
    <row r="165" spans="1:21" s="595" customFormat="1" hidden="1" x14ac:dyDescent="0.2">
      <c r="A165" s="876"/>
      <c r="B165" s="813"/>
      <c r="C165" s="657"/>
      <c r="D165" s="595" t="str">
        <f>VLOOKUP(AB_Eingabe!$M$72,$C$12:$Q$50,$D$9,FALSE)</f>
        <v>keine organ./organ.-mineral. Düngung</v>
      </c>
      <c r="E165" s="597"/>
      <c r="F165" s="597"/>
      <c r="G165" s="597" t="s">
        <v>3779</v>
      </c>
      <c r="H165" s="1503">
        <f>VLOOKUP($D$164,$C$12:$Q$50,$P$9,FALSE)</f>
        <v>0</v>
      </c>
      <c r="I165" s="1490">
        <f>VLOOKUP($D$164,$C$12:$Q$50,$I$9,FALSE)</f>
        <v>0</v>
      </c>
      <c r="J165" s="597"/>
      <c r="K165" s="862">
        <f>VLOOKUP($D$164,$C$12:$Q$50,$K$9,FALSE)</f>
        <v>0</v>
      </c>
      <c r="L165" s="862">
        <f>VLOOKUP($D$164,$C$12:$Q$50,$L$9,FALSE)</f>
        <v>0</v>
      </c>
      <c r="M165" s="862">
        <f>VLOOKUP($D$164,$C$12:$Q$50,$M$9,FALSE)</f>
        <v>0</v>
      </c>
      <c r="N165" s="597"/>
      <c r="O165" s="597"/>
      <c r="P165" s="597"/>
      <c r="Q165" s="875"/>
      <c r="R165" s="969"/>
      <c r="T165" s="597"/>
      <c r="U165" s="597"/>
    </row>
    <row r="166" spans="1:21" s="595" customFormat="1" hidden="1" x14ac:dyDescent="0.2">
      <c r="A166" s="876"/>
      <c r="B166" s="813"/>
      <c r="C166" s="657"/>
      <c r="D166" s="595" t="s">
        <v>3839</v>
      </c>
      <c r="E166" s="597"/>
      <c r="F166" s="597"/>
      <c r="G166" s="597"/>
      <c r="H166" s="1503">
        <f>VLOOKUP($D$164,$C$12:$Q$50,$O$9,FALSE)</f>
        <v>0</v>
      </c>
      <c r="I166" s="1109"/>
      <c r="J166" s="597"/>
      <c r="K166" s="600"/>
      <c r="L166" s="600"/>
      <c r="M166" s="600"/>
      <c r="N166" s="597"/>
      <c r="O166" s="597"/>
      <c r="P166" s="597"/>
      <c r="Q166" s="875"/>
      <c r="R166" s="969"/>
      <c r="T166" s="597"/>
      <c r="U166" s="597"/>
    </row>
    <row r="167" spans="1:21" s="595" customFormat="1" hidden="1" x14ac:dyDescent="0.2">
      <c r="A167" s="876"/>
      <c r="B167" s="813"/>
      <c r="C167" s="657"/>
      <c r="D167" s="595" t="s">
        <v>3740</v>
      </c>
      <c r="E167" s="597"/>
      <c r="F167" s="597"/>
      <c r="G167" s="597"/>
      <c r="H167" s="1160">
        <f>H165</f>
        <v>0</v>
      </c>
      <c r="I167" s="1109">
        <f>AB_Eingabe!$H$72</f>
        <v>0</v>
      </c>
      <c r="J167" s="597"/>
      <c r="K167" s="600"/>
      <c r="L167" s="600"/>
      <c r="M167" s="600"/>
      <c r="N167" s="597"/>
      <c r="O167" s="597"/>
      <c r="P167" s="597"/>
      <c r="Q167" s="875"/>
      <c r="R167" s="969"/>
      <c r="T167" s="597"/>
      <c r="U167" s="597"/>
    </row>
    <row r="168" spans="1:21" s="595" customFormat="1" hidden="1" x14ac:dyDescent="0.2">
      <c r="A168" s="876"/>
      <c r="B168" s="813"/>
      <c r="C168" s="657"/>
      <c r="D168" s="1267" t="s">
        <v>3741</v>
      </c>
      <c r="E168" s="1488"/>
      <c r="F168" s="1024" t="s">
        <v>4513</v>
      </c>
      <c r="G168" s="1488">
        <f>IF(AB_Eingabe!$H$72="",1,0)</f>
        <v>1</v>
      </c>
      <c r="H168" s="1160">
        <f>H165</f>
        <v>0</v>
      </c>
      <c r="I168" s="1489">
        <f>IF(AND($I$167&gt;=0,G168=0),$I$167,$I$165)</f>
        <v>0</v>
      </c>
      <c r="J168" s="597"/>
      <c r="K168" s="600">
        <f>K165</f>
        <v>0</v>
      </c>
      <c r="L168" s="600">
        <f t="shared" ref="L168:M168" si="7">L165</f>
        <v>0</v>
      </c>
      <c r="M168" s="600">
        <f t="shared" si="7"/>
        <v>0</v>
      </c>
      <c r="N168" s="597"/>
      <c r="O168" s="597"/>
      <c r="P168" s="597"/>
      <c r="Q168" s="1025" t="s">
        <v>4514</v>
      </c>
      <c r="R168" s="969"/>
      <c r="T168" s="597"/>
      <c r="U168" s="597"/>
    </row>
    <row r="169" spans="1:21" s="595" customFormat="1" hidden="1" x14ac:dyDescent="0.2">
      <c r="A169" s="876"/>
      <c r="B169" s="813"/>
      <c r="C169" s="657"/>
      <c r="E169" s="597"/>
      <c r="F169" s="597"/>
      <c r="G169" s="597"/>
      <c r="H169" s="1160"/>
      <c r="I169" s="1109"/>
      <c r="J169" s="597"/>
      <c r="K169" s="600"/>
      <c r="L169" s="600"/>
      <c r="M169" s="600"/>
      <c r="N169" s="597"/>
      <c r="O169" s="597"/>
      <c r="P169" s="597"/>
      <c r="Q169" s="875"/>
      <c r="R169" s="969"/>
      <c r="T169" s="597"/>
      <c r="U169" s="597"/>
    </row>
    <row r="170" spans="1:21" s="595" customFormat="1" hidden="1" x14ac:dyDescent="0.2">
      <c r="A170" s="876"/>
      <c r="B170" s="813"/>
      <c r="C170" s="657"/>
      <c r="D170" s="595" t="s">
        <v>3538</v>
      </c>
      <c r="E170" s="597"/>
      <c r="F170" s="597"/>
      <c r="G170" s="597"/>
      <c r="H170" s="1160"/>
      <c r="I170" s="1109"/>
      <c r="J170" s="597"/>
      <c r="K170" s="600"/>
      <c r="L170" s="600"/>
      <c r="M170" s="600"/>
      <c r="N170" s="597"/>
      <c r="O170" s="597"/>
      <c r="P170" s="597"/>
      <c r="Q170" s="875"/>
      <c r="R170" s="969"/>
      <c r="T170" s="597"/>
      <c r="U170" s="597"/>
    </row>
    <row r="171" spans="1:21" s="595" customFormat="1" hidden="1" x14ac:dyDescent="0.2">
      <c r="A171" s="876"/>
      <c r="B171" s="813"/>
      <c r="C171" s="657"/>
      <c r="D171" s="595" t="s">
        <v>3539</v>
      </c>
      <c r="E171" s="597"/>
      <c r="F171" s="597"/>
      <c r="G171" s="597" t="s">
        <v>3838</v>
      </c>
      <c r="H171" s="1503">
        <f>VLOOKUP($D$164,$C$12:$Q$50,$Q$9,FALSE)</f>
        <v>0</v>
      </c>
      <c r="I171" s="1109">
        <f>AB_Eingabe!$F$72</f>
        <v>0</v>
      </c>
      <c r="J171" s="597"/>
      <c r="K171" s="600">
        <f>$I$171</f>
        <v>0</v>
      </c>
      <c r="L171" s="600">
        <f t="shared" ref="L171:M171" si="8">$I$171</f>
        <v>0</v>
      </c>
      <c r="M171" s="600">
        <f t="shared" si="8"/>
        <v>0</v>
      </c>
      <c r="N171" s="597"/>
      <c r="O171" s="597"/>
      <c r="P171" s="597"/>
      <c r="Q171" s="875"/>
      <c r="R171" s="969"/>
      <c r="T171" s="597"/>
      <c r="U171" s="597"/>
    </row>
    <row r="172" spans="1:21" s="595" customFormat="1" hidden="1" x14ac:dyDescent="0.2">
      <c r="A172" s="876"/>
      <c r="B172" s="813"/>
      <c r="C172" s="657"/>
      <c r="D172" s="595" t="s">
        <v>3541</v>
      </c>
      <c r="E172" s="597"/>
      <c r="F172" s="597"/>
      <c r="G172" s="597"/>
      <c r="H172" s="1160">
        <f>H165</f>
        <v>0</v>
      </c>
      <c r="I172" s="1109">
        <f>$I$168</f>
        <v>0</v>
      </c>
      <c r="J172" s="597"/>
      <c r="K172" s="600">
        <f>K168</f>
        <v>0</v>
      </c>
      <c r="L172" s="600">
        <f t="shared" ref="L172:M172" si="9">L168</f>
        <v>0</v>
      </c>
      <c r="M172" s="600">
        <f t="shared" si="9"/>
        <v>0</v>
      </c>
      <c r="N172" s="597"/>
      <c r="O172" s="597"/>
      <c r="P172" s="597"/>
      <c r="Q172" s="875"/>
      <c r="R172" s="969"/>
      <c r="T172" s="597"/>
      <c r="U172" s="597"/>
    </row>
    <row r="173" spans="1:21" s="595" customFormat="1" hidden="1" x14ac:dyDescent="0.2">
      <c r="A173" s="876"/>
      <c r="B173" s="813"/>
      <c r="C173" s="657"/>
      <c r="D173" s="595" t="s">
        <v>3802</v>
      </c>
      <c r="E173" s="597"/>
      <c r="F173" s="597"/>
      <c r="G173" s="597"/>
      <c r="H173" s="1160" t="s">
        <v>3459</v>
      </c>
      <c r="I173" s="1109">
        <f>VLOOKUP($D$164,$C$12:$Q$50,$G$9,FALSE)</f>
        <v>0</v>
      </c>
      <c r="K173" s="592"/>
      <c r="L173" s="592"/>
      <c r="M173" s="592"/>
      <c r="N173" s="597"/>
      <c r="O173" s="597"/>
      <c r="P173" s="597"/>
      <c r="Q173" s="875"/>
      <c r="R173" s="969"/>
      <c r="T173" s="597"/>
      <c r="U173" s="597"/>
    </row>
    <row r="174" spans="1:21" s="595" customFormat="1" hidden="1" x14ac:dyDescent="0.2">
      <c r="A174" s="876"/>
      <c r="B174" s="826"/>
      <c r="C174" s="866"/>
      <c r="D174" s="1004" t="s">
        <v>3540</v>
      </c>
      <c r="E174" s="1164"/>
      <c r="F174" s="1164"/>
      <c r="G174" s="1164"/>
      <c r="H174" s="1162" t="s">
        <v>3309</v>
      </c>
      <c r="I174" s="1492">
        <f>$I$171*$I$172*I173/100</f>
        <v>0</v>
      </c>
      <c r="J174" s="1164"/>
      <c r="K174" s="1504">
        <f>K171*K172</f>
        <v>0</v>
      </c>
      <c r="L174" s="1504">
        <f>L171*L172</f>
        <v>0</v>
      </c>
      <c r="M174" s="1504">
        <f>M171*M172</f>
        <v>0</v>
      </c>
      <c r="N174" s="1164"/>
      <c r="O174" s="1164"/>
      <c r="P174" s="1164"/>
      <c r="Q174" s="1493"/>
      <c r="R174" s="969"/>
      <c r="T174" s="597"/>
      <c r="U174" s="597"/>
    </row>
    <row r="175" spans="1:21" s="595" customFormat="1" hidden="1" x14ac:dyDescent="0.2">
      <c r="A175" s="876"/>
      <c r="B175" s="830"/>
      <c r="C175" s="838"/>
      <c r="D175" s="611"/>
      <c r="E175" s="615"/>
      <c r="F175" s="615"/>
      <c r="G175" s="615"/>
      <c r="H175" s="615"/>
      <c r="I175" s="1505"/>
      <c r="J175" s="1506"/>
      <c r="K175" s="615"/>
      <c r="L175" s="615"/>
      <c r="M175" s="615"/>
      <c r="N175" s="615"/>
      <c r="O175" s="615"/>
      <c r="P175" s="615"/>
      <c r="Q175" s="1477"/>
      <c r="R175" s="969"/>
      <c r="T175" s="597"/>
      <c r="U175" s="597"/>
    </row>
    <row r="176" spans="1:21" s="595" customFormat="1" hidden="1" x14ac:dyDescent="0.2">
      <c r="A176" s="876"/>
      <c r="B176" s="813"/>
      <c r="C176" s="657"/>
      <c r="E176" s="597"/>
      <c r="F176" s="597"/>
      <c r="G176" s="597"/>
      <c r="H176" s="597"/>
      <c r="I176" s="1109"/>
      <c r="J176" s="597"/>
      <c r="K176" s="597"/>
      <c r="L176" s="597"/>
      <c r="M176" s="597"/>
      <c r="N176" s="597"/>
      <c r="O176" s="597"/>
      <c r="P176" s="597"/>
      <c r="Q176" s="875"/>
      <c r="R176" s="969"/>
      <c r="T176" s="597"/>
      <c r="U176" s="597"/>
    </row>
    <row r="177" spans="1:21" s="595" customFormat="1" hidden="1" x14ac:dyDescent="0.2">
      <c r="A177" s="876"/>
      <c r="B177" s="813"/>
      <c r="C177" s="657"/>
      <c r="D177" s="575"/>
      <c r="E177" s="575"/>
      <c r="F177" s="575"/>
      <c r="G177" s="575"/>
      <c r="H177" s="575"/>
      <c r="I177" s="575"/>
      <c r="J177" s="575"/>
      <c r="K177" s="575"/>
      <c r="L177" s="575"/>
      <c r="M177" s="575"/>
      <c r="N177" s="575"/>
      <c r="O177" s="597"/>
      <c r="P177" s="597"/>
      <c r="Q177" s="875"/>
      <c r="R177" s="969"/>
      <c r="T177" s="597"/>
      <c r="U177" s="597"/>
    </row>
    <row r="178" spans="1:21" s="595" customFormat="1" hidden="1" x14ac:dyDescent="0.2">
      <c r="A178" s="876"/>
      <c r="B178" s="813"/>
      <c r="C178" s="657"/>
      <c r="D178" s="575"/>
      <c r="E178" s="575"/>
      <c r="F178" s="575"/>
      <c r="G178" s="575"/>
      <c r="H178" s="575"/>
      <c r="I178" s="575"/>
      <c r="J178" s="575"/>
      <c r="K178" s="575"/>
      <c r="L178" s="575"/>
      <c r="M178" s="575"/>
      <c r="N178" s="575"/>
      <c r="O178" s="597"/>
      <c r="P178" s="597"/>
      <c r="Q178" s="875"/>
      <c r="R178" s="969"/>
      <c r="T178" s="597"/>
      <c r="U178" s="597"/>
    </row>
    <row r="179" spans="1:21" s="595" customFormat="1" hidden="1" x14ac:dyDescent="0.2">
      <c r="A179" s="876"/>
      <c r="B179" s="813"/>
      <c r="C179" s="657"/>
      <c r="D179" s="575"/>
      <c r="E179" s="575"/>
      <c r="F179" s="575"/>
      <c r="G179" s="575"/>
      <c r="H179" s="575"/>
      <c r="I179" s="575"/>
      <c r="J179" s="575"/>
      <c r="K179" s="575"/>
      <c r="L179" s="575"/>
      <c r="M179" s="575"/>
      <c r="N179" s="575"/>
      <c r="O179" s="597"/>
      <c r="P179" s="597"/>
      <c r="Q179" s="875"/>
      <c r="R179" s="969"/>
      <c r="T179" s="597"/>
      <c r="U179" s="597"/>
    </row>
    <row r="180" spans="1:21" s="595" customFormat="1" hidden="1" x14ac:dyDescent="0.2">
      <c r="A180" s="876"/>
      <c r="B180" s="813"/>
      <c r="C180" s="657"/>
      <c r="D180" s="575"/>
      <c r="E180" s="575"/>
      <c r="F180" s="575"/>
      <c r="G180" s="575"/>
      <c r="H180" s="575"/>
      <c r="I180" s="575"/>
      <c r="J180" s="575"/>
      <c r="K180" s="575"/>
      <c r="L180" s="575"/>
      <c r="M180" s="575"/>
      <c r="N180" s="575"/>
      <c r="O180" s="597"/>
      <c r="P180" s="597"/>
      <c r="Q180" s="875"/>
      <c r="R180" s="969"/>
      <c r="T180" s="597"/>
      <c r="U180" s="597"/>
    </row>
    <row r="181" spans="1:21" s="595" customFormat="1" hidden="1" x14ac:dyDescent="0.2">
      <c r="A181" s="876"/>
      <c r="B181" s="813"/>
      <c r="C181" s="657"/>
      <c r="D181" s="575"/>
      <c r="E181" s="575"/>
      <c r="F181" s="575"/>
      <c r="G181" s="575"/>
      <c r="H181" s="575"/>
      <c r="I181" s="575"/>
      <c r="J181" s="575"/>
      <c r="K181" s="575"/>
      <c r="L181" s="575"/>
      <c r="M181" s="575"/>
      <c r="N181" s="575"/>
      <c r="O181" s="597"/>
      <c r="P181" s="597"/>
      <c r="Q181" s="875"/>
      <c r="R181" s="969"/>
      <c r="T181" s="597"/>
      <c r="U181" s="597"/>
    </row>
    <row r="182" spans="1:21" s="595" customFormat="1" hidden="1" x14ac:dyDescent="0.2">
      <c r="A182" s="876"/>
      <c r="B182" s="813"/>
      <c r="C182" s="657"/>
      <c r="D182" s="575"/>
      <c r="E182" s="575"/>
      <c r="F182" s="575"/>
      <c r="G182" s="575"/>
      <c r="H182" s="575"/>
      <c r="I182" s="575"/>
      <c r="J182" s="575"/>
      <c r="K182" s="575"/>
      <c r="L182" s="575"/>
      <c r="M182" s="575"/>
      <c r="N182" s="575"/>
      <c r="O182" s="597"/>
      <c r="P182" s="597"/>
      <c r="Q182" s="875"/>
      <c r="R182" s="969"/>
      <c r="T182" s="597"/>
      <c r="U182" s="597"/>
    </row>
    <row r="183" spans="1:21" s="595" customFormat="1" hidden="1" x14ac:dyDescent="0.2">
      <c r="A183" s="876"/>
      <c r="B183" s="813"/>
      <c r="C183" s="657"/>
      <c r="D183" s="575"/>
      <c r="E183" s="575"/>
      <c r="F183" s="575"/>
      <c r="G183" s="575"/>
      <c r="H183" s="575"/>
      <c r="I183" s="575"/>
      <c r="J183" s="575"/>
      <c r="K183" s="575"/>
      <c r="L183" s="575"/>
      <c r="M183" s="575"/>
      <c r="N183" s="575"/>
      <c r="O183" s="597"/>
      <c r="P183" s="597"/>
      <c r="Q183" s="875"/>
      <c r="R183" s="969"/>
      <c r="T183" s="597"/>
      <c r="U183" s="597"/>
    </row>
    <row r="184" spans="1:21" s="595" customFormat="1" hidden="1" x14ac:dyDescent="0.2">
      <c r="A184" s="876"/>
      <c r="B184" s="813"/>
      <c r="C184" s="657"/>
      <c r="D184" s="575"/>
      <c r="E184" s="575"/>
      <c r="F184" s="575"/>
      <c r="G184" s="575"/>
      <c r="H184" s="575"/>
      <c r="I184" s="575"/>
      <c r="J184" s="575"/>
      <c r="K184" s="575"/>
      <c r="L184" s="575"/>
      <c r="M184" s="575"/>
      <c r="N184" s="575"/>
      <c r="O184" s="597"/>
      <c r="P184" s="597"/>
      <c r="Q184" s="875"/>
      <c r="R184" s="969"/>
      <c r="T184" s="597"/>
      <c r="U184" s="597"/>
    </row>
    <row r="185" spans="1:21" s="595" customFormat="1" hidden="1" x14ac:dyDescent="0.2">
      <c r="A185" s="876"/>
      <c r="B185" s="813"/>
      <c r="C185" s="657"/>
      <c r="E185" s="597"/>
      <c r="F185" s="597"/>
      <c r="G185" s="597"/>
      <c r="H185" s="597"/>
      <c r="I185" s="1109"/>
      <c r="J185" s="597"/>
      <c r="K185" s="597"/>
      <c r="L185" s="597"/>
      <c r="M185" s="597"/>
      <c r="N185" s="597"/>
      <c r="O185" s="597"/>
      <c r="P185" s="597"/>
      <c r="Q185" s="875"/>
      <c r="R185" s="969"/>
      <c r="T185" s="597"/>
      <c r="U185" s="597"/>
    </row>
    <row r="186" spans="1:21" s="595" customFormat="1" hidden="1" x14ac:dyDescent="0.2">
      <c r="A186" s="876"/>
      <c r="B186" s="813"/>
      <c r="C186" s="657"/>
      <c r="E186" s="597"/>
      <c r="F186" s="597"/>
      <c r="G186" s="597"/>
      <c r="H186" s="597"/>
      <c r="I186" s="1109"/>
      <c r="J186" s="597"/>
      <c r="K186" s="597"/>
      <c r="L186" s="597"/>
      <c r="M186" s="597"/>
      <c r="N186" s="597"/>
      <c r="O186" s="597"/>
      <c r="P186" s="597"/>
      <c r="Q186" s="875"/>
      <c r="R186" s="969"/>
      <c r="T186" s="597"/>
      <c r="U186" s="597"/>
    </row>
    <row r="187" spans="1:21" s="595" customFormat="1" hidden="1" x14ac:dyDescent="0.2">
      <c r="A187" s="876"/>
      <c r="B187" s="813"/>
      <c r="C187" s="657"/>
      <c r="E187" s="597"/>
      <c r="F187" s="597"/>
      <c r="G187" s="597"/>
      <c r="H187" s="597"/>
      <c r="I187" s="1109"/>
      <c r="J187" s="597"/>
      <c r="K187" s="597"/>
      <c r="L187" s="597"/>
      <c r="M187" s="597"/>
      <c r="N187" s="597"/>
      <c r="O187" s="597"/>
      <c r="P187" s="597"/>
      <c r="Q187" s="875"/>
      <c r="R187" s="969"/>
      <c r="T187" s="597"/>
      <c r="U187" s="597"/>
    </row>
    <row r="188" spans="1:21" s="595" customFormat="1" hidden="1" x14ac:dyDescent="0.2">
      <c r="A188" s="876"/>
      <c r="B188" s="813"/>
      <c r="C188" s="657"/>
      <c r="E188" s="597"/>
      <c r="F188" s="597"/>
      <c r="G188" s="597"/>
      <c r="H188" s="597"/>
      <c r="I188" s="1109"/>
      <c r="J188" s="597"/>
      <c r="K188" s="597"/>
      <c r="L188" s="597"/>
      <c r="M188" s="597"/>
      <c r="N188" s="597"/>
      <c r="O188" s="597"/>
      <c r="P188" s="597"/>
      <c r="Q188" s="875"/>
      <c r="R188" s="969"/>
      <c r="T188" s="597"/>
      <c r="U188" s="597"/>
    </row>
    <row r="189" spans="1:21" s="595" customFormat="1" hidden="1" x14ac:dyDescent="0.2">
      <c r="A189" s="876"/>
      <c r="B189" s="813"/>
      <c r="C189" s="657"/>
      <c r="E189" s="597"/>
      <c r="F189" s="597"/>
      <c r="G189" s="597"/>
      <c r="H189" s="597"/>
      <c r="I189" s="1109"/>
      <c r="J189" s="597"/>
      <c r="K189" s="597"/>
      <c r="L189" s="597"/>
      <c r="M189" s="597"/>
      <c r="N189" s="597"/>
      <c r="O189" s="597"/>
      <c r="P189" s="597"/>
      <c r="Q189" s="875"/>
      <c r="R189" s="969"/>
      <c r="T189" s="597"/>
      <c r="U189" s="597"/>
    </row>
    <row r="190" spans="1:21" s="595" customFormat="1" hidden="1" x14ac:dyDescent="0.2">
      <c r="A190" s="876"/>
      <c r="B190" s="813"/>
      <c r="C190" s="657"/>
      <c r="E190" s="597"/>
      <c r="F190" s="597"/>
      <c r="G190" s="597"/>
      <c r="H190" s="597"/>
      <c r="I190" s="1109"/>
      <c r="J190" s="597"/>
      <c r="K190" s="597"/>
      <c r="L190" s="597"/>
      <c r="M190" s="597"/>
      <c r="N190" s="597"/>
      <c r="O190" s="597"/>
      <c r="P190" s="597"/>
      <c r="Q190" s="875"/>
      <c r="R190" s="969"/>
      <c r="T190" s="597"/>
      <c r="U190" s="597"/>
    </row>
    <row r="191" spans="1:21" s="595" customFormat="1" hidden="1" x14ac:dyDescent="0.2">
      <c r="A191" s="876"/>
      <c r="B191" s="813"/>
      <c r="C191" s="657"/>
      <c r="E191" s="597"/>
      <c r="F191" s="597"/>
      <c r="G191" s="597"/>
      <c r="H191" s="597"/>
      <c r="I191" s="1109"/>
      <c r="J191" s="597"/>
      <c r="K191" s="597"/>
      <c r="L191" s="597"/>
      <c r="M191" s="597"/>
      <c r="N191" s="597"/>
      <c r="O191" s="597"/>
      <c r="P191" s="597"/>
      <c r="Q191" s="875"/>
      <c r="R191" s="969"/>
      <c r="T191" s="597"/>
      <c r="U191" s="597"/>
    </row>
    <row r="192" spans="1:21" s="595" customFormat="1" hidden="1" x14ac:dyDescent="0.2">
      <c r="A192" s="876"/>
      <c r="B192" s="813"/>
      <c r="C192" s="657"/>
      <c r="E192" s="597"/>
      <c r="F192" s="597"/>
      <c r="G192" s="597"/>
      <c r="H192" s="597"/>
      <c r="I192" s="1109"/>
      <c r="J192" s="597"/>
      <c r="K192" s="597"/>
      <c r="L192" s="597"/>
      <c r="M192" s="597"/>
      <c r="N192" s="597"/>
      <c r="O192" s="597"/>
      <c r="P192" s="597"/>
      <c r="Q192" s="875"/>
      <c r="R192" s="969"/>
      <c r="T192" s="597"/>
      <c r="U192" s="597"/>
    </row>
    <row r="193" spans="1:21" s="595" customFormat="1" hidden="1" x14ac:dyDescent="0.2">
      <c r="A193" s="876"/>
      <c r="B193" s="822"/>
      <c r="C193" s="863"/>
      <c r="D193" s="1009"/>
      <c r="E193" s="1158"/>
      <c r="F193" s="1158"/>
      <c r="G193" s="1158"/>
      <c r="H193" s="1158"/>
      <c r="I193" s="1502"/>
      <c r="J193" s="1158"/>
      <c r="K193" s="1158"/>
      <c r="L193" s="1158"/>
      <c r="M193" s="1158"/>
      <c r="N193" s="1158"/>
      <c r="O193" s="1158"/>
      <c r="P193" s="1158"/>
      <c r="Q193" s="1485"/>
      <c r="R193" s="969"/>
      <c r="T193" s="597"/>
      <c r="U193" s="597"/>
    </row>
    <row r="194" spans="1:21" s="599" customFormat="1" hidden="1" x14ac:dyDescent="0.2">
      <c r="A194" s="929"/>
      <c r="B194" s="952"/>
      <c r="C194" s="953"/>
      <c r="D194" s="933" t="s">
        <v>3920</v>
      </c>
      <c r="E194" s="1169"/>
      <c r="F194" s="1169"/>
      <c r="G194" s="1169"/>
      <c r="H194" s="1169"/>
      <c r="I194" s="1486"/>
      <c r="J194" s="1169"/>
      <c r="K194" s="1169"/>
      <c r="L194" s="1169"/>
      <c r="M194" s="1169"/>
      <c r="N194" s="1169"/>
      <c r="O194" s="1169"/>
      <c r="P194" s="1169"/>
      <c r="Q194" s="1171"/>
      <c r="R194" s="1481"/>
      <c r="T194" s="1114"/>
      <c r="U194" s="1114"/>
    </row>
    <row r="195" spans="1:21" s="595" customFormat="1" hidden="1" x14ac:dyDescent="0.2">
      <c r="A195" s="876"/>
      <c r="B195" s="813"/>
      <c r="C195" s="657"/>
      <c r="D195" s="591" t="s">
        <v>3809</v>
      </c>
      <c r="E195" s="597"/>
      <c r="F195" s="597"/>
      <c r="G195" s="597"/>
      <c r="H195" s="597"/>
      <c r="I195" s="1109"/>
      <c r="J195" s="597"/>
      <c r="K195" s="597"/>
      <c r="L195" s="597"/>
      <c r="M195" s="597"/>
      <c r="N195" s="597"/>
      <c r="O195" s="597"/>
      <c r="P195" s="597"/>
      <c r="Q195" s="875"/>
      <c r="R195" s="969"/>
      <c r="T195" s="597"/>
      <c r="U195" s="597"/>
    </row>
    <row r="196" spans="1:21" s="595" customFormat="1" hidden="1" x14ac:dyDescent="0.2">
      <c r="A196" s="876"/>
      <c r="B196" s="813"/>
      <c r="C196" s="657"/>
      <c r="D196" s="591" t="s">
        <v>3512</v>
      </c>
      <c r="E196" s="597"/>
      <c r="F196" s="597"/>
      <c r="G196" s="597"/>
      <c r="H196" s="597"/>
      <c r="I196" s="1109"/>
      <c r="J196" s="597"/>
      <c r="K196" s="597"/>
      <c r="L196" s="597"/>
      <c r="M196" s="597"/>
      <c r="N196" s="597"/>
      <c r="O196" s="597"/>
      <c r="P196" s="597"/>
      <c r="Q196" s="875"/>
      <c r="R196" s="969"/>
      <c r="T196" s="597"/>
      <c r="U196" s="597"/>
    </row>
    <row r="197" spans="1:21" s="595" customFormat="1" hidden="1" x14ac:dyDescent="0.2">
      <c r="A197" s="876"/>
      <c r="B197" s="813"/>
      <c r="C197" s="657"/>
      <c r="D197" s="1161">
        <f>OR_Eingabe!$M$41</f>
        <v>1</v>
      </c>
      <c r="E197" s="597"/>
      <c r="F197" s="597"/>
      <c r="G197" s="597"/>
      <c r="H197" s="597"/>
      <c r="I197" s="1109" t="s">
        <v>4307</v>
      </c>
      <c r="J197" s="597"/>
      <c r="K197" s="597" t="s">
        <v>3828</v>
      </c>
      <c r="L197" s="597" t="s">
        <v>3569</v>
      </c>
      <c r="M197" s="597" t="s">
        <v>3573</v>
      </c>
      <c r="N197" s="597"/>
      <c r="O197" s="597"/>
      <c r="P197" s="597"/>
      <c r="Q197" s="875"/>
      <c r="R197" s="969"/>
      <c r="T197" s="597"/>
      <c r="U197" s="597"/>
    </row>
    <row r="198" spans="1:21" s="595" customFormat="1" hidden="1" x14ac:dyDescent="0.2">
      <c r="A198" s="876"/>
      <c r="B198" s="813"/>
      <c r="C198" s="657"/>
      <c r="D198" s="584" t="str">
        <f>VLOOKUP(OR_Eingabe!$M$41,$C$12:$Q$69,$D$9,FALSE)</f>
        <v>keine organ./organ.-mineral. Düngung</v>
      </c>
      <c r="E198" s="597"/>
      <c r="F198" s="597"/>
      <c r="G198" s="596" t="s">
        <v>3835</v>
      </c>
      <c r="H198" s="596">
        <f>VLOOKUP($D$197,$C$12:$Q$69,$P$9,FALSE)</f>
        <v>0</v>
      </c>
      <c r="I198" s="1109">
        <f>VLOOKUP($D$197,$C$12:$Q$69,$I$9,FALSE)</f>
        <v>0</v>
      </c>
      <c r="J198" s="597"/>
      <c r="K198" s="597">
        <f>VLOOKUP($D$197,$C$12:$Q$69,$K$9,FALSE)</f>
        <v>0</v>
      </c>
      <c r="L198" s="597">
        <f>VLOOKUP($D$197,$C$12:$Q$69,$L$9,FALSE)</f>
        <v>0</v>
      </c>
      <c r="M198" s="597">
        <f>VLOOKUP($D$197,$C$12:$Q$69,$M$9,FALSE)</f>
        <v>0</v>
      </c>
      <c r="N198" s="597"/>
      <c r="O198" s="597"/>
      <c r="P198" s="597"/>
      <c r="Q198" s="875"/>
      <c r="R198" s="969"/>
      <c r="T198" s="597"/>
      <c r="U198" s="597"/>
    </row>
    <row r="199" spans="1:21" s="595" customFormat="1" hidden="1" x14ac:dyDescent="0.2">
      <c r="A199" s="876"/>
      <c r="B199" s="813"/>
      <c r="C199" s="657"/>
      <c r="E199" s="597"/>
      <c r="F199" s="597"/>
      <c r="G199" s="597"/>
      <c r="H199" s="597"/>
      <c r="I199" s="1109"/>
      <c r="J199" s="597"/>
      <c r="K199" s="597"/>
      <c r="L199" s="597"/>
      <c r="M199" s="597"/>
      <c r="N199" s="597"/>
      <c r="O199" s="597"/>
      <c r="P199" s="597"/>
      <c r="Q199" s="875"/>
      <c r="R199" s="969"/>
      <c r="T199" s="597"/>
      <c r="U199" s="597"/>
    </row>
    <row r="200" spans="1:21" s="595" customFormat="1" hidden="1" x14ac:dyDescent="0.2">
      <c r="A200" s="876"/>
      <c r="B200" s="813"/>
      <c r="C200" s="657"/>
      <c r="D200" s="595" t="s">
        <v>4310</v>
      </c>
      <c r="E200" s="597"/>
      <c r="F200" s="597"/>
      <c r="G200" s="597"/>
      <c r="H200" s="1160">
        <f>H198</f>
        <v>0</v>
      </c>
      <c r="I200" s="1109">
        <f>IF(D197=1,0,OR_Eingabe!J41)</f>
        <v>0</v>
      </c>
      <c r="J200" s="597"/>
      <c r="K200" s="597"/>
      <c r="L200" s="597"/>
      <c r="M200" s="597"/>
      <c r="N200" s="597"/>
      <c r="O200" s="597"/>
      <c r="P200" s="597"/>
      <c r="Q200" s="875"/>
      <c r="R200" s="969"/>
      <c r="T200" s="597"/>
      <c r="U200" s="597"/>
    </row>
    <row r="201" spans="1:21" s="595" customFormat="1" hidden="1" x14ac:dyDescent="0.2">
      <c r="A201" s="876"/>
      <c r="B201" s="813"/>
      <c r="C201" s="657"/>
      <c r="D201" s="1267" t="s">
        <v>3741</v>
      </c>
      <c r="E201" s="1488"/>
      <c r="F201" s="1024" t="s">
        <v>4513</v>
      </c>
      <c r="G201" s="1488">
        <f>IF(OR_Eingabe!$J$41="",1,0)</f>
        <v>1</v>
      </c>
      <c r="H201" s="1507">
        <f>H198</f>
        <v>0</v>
      </c>
      <c r="I201" s="1489">
        <f>IF(AND($I$200&gt;=0,G201=0),$I$200,$I$198)</f>
        <v>0</v>
      </c>
      <c r="J201" s="597"/>
      <c r="K201" s="597">
        <f>K198</f>
        <v>0</v>
      </c>
      <c r="L201" s="597">
        <f t="shared" ref="L201:M201" si="10">L198</f>
        <v>0</v>
      </c>
      <c r="M201" s="597">
        <f t="shared" si="10"/>
        <v>0</v>
      </c>
      <c r="N201" s="597"/>
      <c r="O201" s="597"/>
      <c r="P201" s="597"/>
      <c r="Q201" s="1025" t="s">
        <v>4514</v>
      </c>
      <c r="R201" s="969"/>
      <c r="T201" s="597"/>
      <c r="U201" s="597"/>
    </row>
    <row r="202" spans="1:21" s="595" customFormat="1" hidden="1" x14ac:dyDescent="0.2">
      <c r="A202" s="876"/>
      <c r="B202" s="813"/>
      <c r="C202" s="657"/>
      <c r="E202" s="597"/>
      <c r="F202" s="597"/>
      <c r="G202" s="597"/>
      <c r="H202" s="1160"/>
      <c r="I202" s="1109"/>
      <c r="J202" s="597"/>
      <c r="K202" s="597"/>
      <c r="L202" s="597"/>
      <c r="M202" s="597"/>
      <c r="N202" s="597"/>
      <c r="O202" s="597"/>
      <c r="P202" s="597"/>
      <c r="Q202" s="875"/>
      <c r="R202" s="969"/>
      <c r="T202" s="597"/>
      <c r="U202" s="597"/>
    </row>
    <row r="203" spans="1:21" s="595" customFormat="1" hidden="1" x14ac:dyDescent="0.2">
      <c r="A203" s="876"/>
      <c r="B203" s="813"/>
      <c r="C203" s="657"/>
      <c r="D203" s="595" t="s">
        <v>3538</v>
      </c>
      <c r="E203" s="597"/>
      <c r="F203" s="597"/>
      <c r="G203" s="597"/>
      <c r="H203" s="1160"/>
      <c r="I203" s="1109"/>
      <c r="J203" s="597"/>
      <c r="K203" s="597"/>
      <c r="L203" s="597"/>
      <c r="M203" s="597"/>
      <c r="N203" s="597"/>
      <c r="O203" s="597"/>
      <c r="P203" s="597"/>
      <c r="Q203" s="875"/>
      <c r="R203" s="969"/>
      <c r="T203" s="597"/>
      <c r="U203" s="597"/>
    </row>
    <row r="204" spans="1:21" s="595" customFormat="1" hidden="1" x14ac:dyDescent="0.2">
      <c r="A204" s="876"/>
      <c r="B204" s="813"/>
      <c r="C204" s="657"/>
      <c r="D204" s="595" t="s">
        <v>3539</v>
      </c>
      <c r="E204" s="597"/>
      <c r="F204" s="597"/>
      <c r="G204" s="596" t="s">
        <v>3835</v>
      </c>
      <c r="H204" s="596">
        <f>VLOOKUP($D$197,$C$12:$Q$69,$Q$9,FALSE)</f>
        <v>0</v>
      </c>
      <c r="I204" s="1109">
        <f>OR_Eingabe!H41</f>
        <v>0</v>
      </c>
      <c r="J204" s="597"/>
      <c r="K204" s="597">
        <f>$I$204</f>
        <v>0</v>
      </c>
      <c r="L204" s="597">
        <f t="shared" ref="L204:M204" si="11">$I$204</f>
        <v>0</v>
      </c>
      <c r="M204" s="597">
        <f t="shared" si="11"/>
        <v>0</v>
      </c>
      <c r="N204" s="597"/>
      <c r="O204" s="597"/>
      <c r="P204" s="597"/>
      <c r="Q204" s="875"/>
      <c r="R204" s="969"/>
      <c r="T204" s="597"/>
      <c r="U204" s="597"/>
    </row>
    <row r="205" spans="1:21" s="595" customFormat="1" hidden="1" x14ac:dyDescent="0.2">
      <c r="A205" s="876"/>
      <c r="B205" s="813"/>
      <c r="C205" s="657"/>
      <c r="D205" s="595" t="s">
        <v>3541</v>
      </c>
      <c r="E205" s="597"/>
      <c r="F205" s="597"/>
      <c r="G205" s="597"/>
      <c r="H205" s="1160">
        <f>H198</f>
        <v>0</v>
      </c>
      <c r="I205" s="1109">
        <f>I201</f>
        <v>0</v>
      </c>
      <c r="J205" s="597"/>
      <c r="K205" s="597">
        <f>K201</f>
        <v>0</v>
      </c>
      <c r="L205" s="597">
        <f t="shared" ref="L205:M205" si="12">L201</f>
        <v>0</v>
      </c>
      <c r="M205" s="597">
        <f t="shared" si="12"/>
        <v>0</v>
      </c>
      <c r="N205" s="597"/>
      <c r="O205" s="597"/>
      <c r="P205" s="597"/>
      <c r="Q205" s="875"/>
      <c r="R205" s="969"/>
      <c r="T205" s="597"/>
      <c r="U205" s="597"/>
    </row>
    <row r="206" spans="1:21" s="595" customFormat="1" hidden="1" x14ac:dyDescent="0.2">
      <c r="A206" s="876"/>
      <c r="B206" s="813"/>
      <c r="C206" s="657"/>
      <c r="D206" s="595" t="s">
        <v>3540</v>
      </c>
      <c r="E206" s="597"/>
      <c r="F206" s="597"/>
      <c r="G206" s="597"/>
      <c r="H206" s="1160" t="s">
        <v>3309</v>
      </c>
      <c r="I206" s="1109">
        <f>I204*I205</f>
        <v>0</v>
      </c>
      <c r="J206" s="1109"/>
      <c r="K206" s="597">
        <f t="shared" ref="K206:M206" si="13">K204*K205</f>
        <v>0</v>
      </c>
      <c r="L206" s="597">
        <f t="shared" si="13"/>
        <v>0</v>
      </c>
      <c r="M206" s="597">
        <f t="shared" si="13"/>
        <v>0</v>
      </c>
      <c r="N206" s="597"/>
      <c r="O206" s="597"/>
      <c r="P206" s="597"/>
      <c r="Q206" s="875"/>
      <c r="R206" s="969"/>
      <c r="T206" s="597"/>
      <c r="U206" s="597"/>
    </row>
    <row r="207" spans="1:21" s="595" customFormat="1" hidden="1" x14ac:dyDescent="0.2">
      <c r="A207" s="876"/>
      <c r="B207" s="813"/>
      <c r="C207" s="657"/>
      <c r="D207" s="595" t="s">
        <v>3542</v>
      </c>
      <c r="E207" s="597"/>
      <c r="F207" s="597"/>
      <c r="G207" s="597"/>
      <c r="H207" s="1496">
        <v>0.1</v>
      </c>
      <c r="I207" s="1109">
        <f>VLOOKUP(D197,$C$12:$Q$69,$H$9,FALSE)</f>
        <v>0</v>
      </c>
      <c r="J207" s="597"/>
      <c r="K207" s="597"/>
      <c r="L207" s="597"/>
      <c r="M207" s="597"/>
      <c r="N207" s="597"/>
      <c r="O207" s="597"/>
      <c r="P207" s="597"/>
      <c r="Q207" s="875"/>
      <c r="R207" s="969"/>
      <c r="T207" s="597"/>
      <c r="U207" s="597"/>
    </row>
    <row r="208" spans="1:21" s="595" customFormat="1" hidden="1" x14ac:dyDescent="0.2">
      <c r="A208" s="876"/>
      <c r="B208" s="813"/>
      <c r="C208" s="657"/>
      <c r="D208" s="595" t="s">
        <v>3543</v>
      </c>
      <c r="E208" s="597"/>
      <c r="F208" s="597"/>
      <c r="G208" s="597"/>
      <c r="H208" s="1160" t="s">
        <v>3309</v>
      </c>
      <c r="I208" s="1109">
        <f>I206*I207</f>
        <v>0</v>
      </c>
      <c r="J208" s="597"/>
      <c r="K208" s="597"/>
      <c r="L208" s="597"/>
      <c r="M208" s="597"/>
      <c r="N208" s="597"/>
      <c r="O208" s="597"/>
      <c r="P208" s="597"/>
      <c r="Q208" s="875"/>
      <c r="R208" s="969"/>
      <c r="T208" s="597"/>
      <c r="U208" s="597"/>
    </row>
    <row r="209" spans="1:21" s="595" customFormat="1" hidden="1" x14ac:dyDescent="0.2">
      <c r="A209" s="876"/>
      <c r="B209" s="813"/>
      <c r="C209" s="657"/>
      <c r="E209" s="597"/>
      <c r="F209" s="597"/>
      <c r="G209" s="597"/>
      <c r="H209" s="597"/>
      <c r="I209" s="1109"/>
      <c r="J209" s="597"/>
      <c r="K209" s="597"/>
      <c r="L209" s="597"/>
      <c r="M209" s="597"/>
      <c r="N209" s="597"/>
      <c r="O209" s="597"/>
      <c r="P209" s="597"/>
      <c r="Q209" s="875"/>
      <c r="R209" s="969"/>
      <c r="T209" s="597"/>
      <c r="U209" s="597"/>
    </row>
    <row r="210" spans="1:21" s="595" customFormat="1" hidden="1" x14ac:dyDescent="0.2">
      <c r="A210" s="876"/>
      <c r="B210" s="813"/>
      <c r="C210" s="657"/>
      <c r="D210" s="595" t="s">
        <v>3920</v>
      </c>
      <c r="E210" s="597"/>
      <c r="F210" s="597"/>
      <c r="G210" s="597"/>
      <c r="H210" s="597"/>
      <c r="I210" s="1109"/>
      <c r="J210" s="597"/>
      <c r="K210" s="597"/>
      <c r="L210" s="597"/>
      <c r="M210" s="597"/>
      <c r="N210" s="597"/>
      <c r="O210" s="597"/>
      <c r="P210" s="597"/>
      <c r="Q210" s="875"/>
      <c r="R210" s="969"/>
      <c r="T210" s="597"/>
      <c r="U210" s="597"/>
    </row>
    <row r="211" spans="1:21" s="595" customFormat="1" hidden="1" x14ac:dyDescent="0.2">
      <c r="A211" s="876"/>
      <c r="B211" s="813"/>
      <c r="C211" s="657"/>
      <c r="D211" s="591" t="s">
        <v>3924</v>
      </c>
      <c r="E211" s="597"/>
      <c r="F211" s="597"/>
      <c r="G211" s="597"/>
      <c r="H211" s="597"/>
      <c r="I211" s="1109"/>
      <c r="J211" s="597"/>
      <c r="K211" s="597"/>
      <c r="L211" s="597"/>
      <c r="M211" s="597"/>
      <c r="N211" s="597"/>
      <c r="O211" s="597"/>
      <c r="P211" s="597"/>
      <c r="Q211" s="875"/>
      <c r="R211" s="969"/>
      <c r="T211" s="597"/>
      <c r="U211" s="597"/>
    </row>
    <row r="212" spans="1:21" s="595" customFormat="1" hidden="1" x14ac:dyDescent="0.2">
      <c r="A212" s="876"/>
      <c r="B212" s="813"/>
      <c r="C212" s="657"/>
      <c r="D212" s="591" t="s">
        <v>3512</v>
      </c>
      <c r="E212" s="597"/>
      <c r="F212" s="597"/>
      <c r="G212" s="597"/>
      <c r="H212" s="597"/>
      <c r="I212" s="1109"/>
      <c r="J212" s="597"/>
      <c r="K212" s="597"/>
      <c r="L212" s="597"/>
      <c r="M212" s="597"/>
      <c r="N212" s="597"/>
      <c r="O212" s="597"/>
      <c r="P212" s="597"/>
      <c r="Q212" s="875"/>
      <c r="R212" s="969"/>
      <c r="T212" s="597"/>
      <c r="U212" s="597"/>
    </row>
    <row r="213" spans="1:21" s="595" customFormat="1" hidden="1" x14ac:dyDescent="0.2">
      <c r="A213" s="876"/>
      <c r="B213" s="813"/>
      <c r="C213" s="657"/>
      <c r="D213" s="1161">
        <f>OR_Eingabe!$M$45</f>
        <v>1</v>
      </c>
      <c r="E213" s="597"/>
      <c r="F213" s="597"/>
      <c r="G213" s="597"/>
      <c r="H213" s="597"/>
      <c r="I213" s="1109" t="s">
        <v>3537</v>
      </c>
      <c r="J213" s="597"/>
      <c r="K213" s="597" t="s">
        <v>3828</v>
      </c>
      <c r="L213" s="597" t="s">
        <v>3569</v>
      </c>
      <c r="M213" s="597" t="s">
        <v>3573</v>
      </c>
      <c r="N213" s="597"/>
      <c r="O213" s="597"/>
      <c r="P213" s="597"/>
      <c r="Q213" s="875"/>
      <c r="R213" s="969"/>
      <c r="T213" s="597"/>
      <c r="U213" s="597"/>
    </row>
    <row r="214" spans="1:21" s="595" customFormat="1" hidden="1" x14ac:dyDescent="0.2">
      <c r="A214" s="876"/>
      <c r="B214" s="813"/>
      <c r="C214" s="657"/>
      <c r="D214" s="584" t="str">
        <f>VLOOKUP(OR_Eingabe!$M$45,$C$12:$Q$69,$D$9,FALSE)</f>
        <v>keine organ./organ.-mineral. Düngung</v>
      </c>
      <c r="E214" s="597"/>
      <c r="F214" s="597"/>
      <c r="G214" s="596" t="s">
        <v>3835</v>
      </c>
      <c r="H214" s="596">
        <f>VLOOKUP($D$213,$C$12:$Q$69,$P$9,FALSE)</f>
        <v>0</v>
      </c>
      <c r="I214" s="1490">
        <f>VLOOKUP($D$213,$C$12:$Q$69,$I$9,FALSE)</f>
        <v>0</v>
      </c>
      <c r="J214" s="597"/>
      <c r="K214" s="597">
        <f>VLOOKUP($D$213,$C$12:$Q$69,$K$9,FALSE)</f>
        <v>0</v>
      </c>
      <c r="L214" s="597">
        <f>VLOOKUP($D$213,$C$12:$Q$69,$L$9,FALSE)</f>
        <v>0</v>
      </c>
      <c r="M214" s="968">
        <f>VLOOKUP($D$213,$C$12:$Q$69,$M$9,FALSE)</f>
        <v>0</v>
      </c>
      <c r="N214" s="597"/>
      <c r="O214" s="597"/>
      <c r="P214" s="597"/>
      <c r="Q214" s="875"/>
      <c r="R214" s="969"/>
      <c r="T214" s="597"/>
      <c r="U214" s="597"/>
    </row>
    <row r="215" spans="1:21" s="595" customFormat="1" hidden="1" x14ac:dyDescent="0.2">
      <c r="A215" s="876"/>
      <c r="B215" s="813"/>
      <c r="C215" s="657"/>
      <c r="E215" s="597"/>
      <c r="F215" s="597"/>
      <c r="G215" s="597"/>
      <c r="H215" s="597"/>
      <c r="I215" s="1109"/>
      <c r="J215" s="597"/>
      <c r="K215" s="597"/>
      <c r="L215" s="597"/>
      <c r="M215" s="597"/>
      <c r="N215" s="597"/>
      <c r="O215" s="597"/>
      <c r="P215" s="597"/>
      <c r="Q215" s="875"/>
      <c r="R215" s="969"/>
      <c r="T215" s="597"/>
      <c r="U215" s="597"/>
    </row>
    <row r="216" spans="1:21" s="595" customFormat="1" hidden="1" x14ac:dyDescent="0.2">
      <c r="A216" s="876"/>
      <c r="B216" s="813"/>
      <c r="C216" s="657"/>
      <c r="D216" s="595" t="s">
        <v>4311</v>
      </c>
      <c r="E216" s="597"/>
      <c r="F216" s="597"/>
      <c r="G216" s="597"/>
      <c r="H216" s="1160">
        <f>H214</f>
        <v>0</v>
      </c>
      <c r="I216" s="1109">
        <f>IF(D213=1,0,OR_Eingabe!$J$45)</f>
        <v>0</v>
      </c>
      <c r="J216" s="597"/>
      <c r="K216" s="597"/>
      <c r="L216" s="597"/>
      <c r="M216" s="597"/>
      <c r="N216" s="597"/>
      <c r="O216" s="597"/>
      <c r="P216" s="597"/>
      <c r="Q216" s="875"/>
      <c r="R216" s="969"/>
      <c r="T216" s="597"/>
      <c r="U216" s="597"/>
    </row>
    <row r="217" spans="1:21" s="595" customFormat="1" hidden="1" x14ac:dyDescent="0.2">
      <c r="A217" s="876"/>
      <c r="B217" s="813"/>
      <c r="C217" s="657"/>
      <c r="D217" s="1267" t="s">
        <v>3741</v>
      </c>
      <c r="E217" s="1488"/>
      <c r="F217" s="1024" t="s">
        <v>4513</v>
      </c>
      <c r="G217" s="1488">
        <f>IF(OR_Eingabe!$J$45="",1,0)</f>
        <v>1</v>
      </c>
      <c r="H217" s="1507">
        <f>H214</f>
        <v>0</v>
      </c>
      <c r="I217" s="1489">
        <f>IF(AND($I$216&gt;=0,G217=0),$I$216,$I$214)</f>
        <v>0</v>
      </c>
      <c r="J217" s="597"/>
      <c r="K217" s="597">
        <f>K214</f>
        <v>0</v>
      </c>
      <c r="L217" s="597">
        <f t="shared" ref="L217:M217" si="14">L214</f>
        <v>0</v>
      </c>
      <c r="M217" s="968">
        <f t="shared" si="14"/>
        <v>0</v>
      </c>
      <c r="N217" s="597"/>
      <c r="O217" s="597"/>
      <c r="P217" s="597"/>
      <c r="Q217" s="875"/>
      <c r="R217" s="969"/>
      <c r="T217" s="597"/>
      <c r="U217" s="597"/>
    </row>
    <row r="218" spans="1:21" s="595" customFormat="1" hidden="1" x14ac:dyDescent="0.2">
      <c r="A218" s="876"/>
      <c r="B218" s="813"/>
      <c r="C218" s="657"/>
      <c r="E218" s="597"/>
      <c r="F218" s="597"/>
      <c r="G218" s="597"/>
      <c r="H218" s="1160"/>
      <c r="I218" s="1109"/>
      <c r="J218" s="597"/>
      <c r="K218" s="597"/>
      <c r="L218" s="597"/>
      <c r="M218" s="597"/>
      <c r="N218" s="597"/>
      <c r="O218" s="597"/>
      <c r="P218" s="597"/>
      <c r="Q218" s="875"/>
      <c r="R218" s="969"/>
      <c r="T218" s="597"/>
      <c r="U218" s="597"/>
    </row>
    <row r="219" spans="1:21" s="595" customFormat="1" hidden="1" x14ac:dyDescent="0.2">
      <c r="A219" s="876"/>
      <c r="B219" s="813"/>
      <c r="C219" s="657"/>
      <c r="D219" s="595" t="s">
        <v>3538</v>
      </c>
      <c r="E219" s="597"/>
      <c r="F219" s="597"/>
      <c r="G219" s="597"/>
      <c r="H219" s="1160"/>
      <c r="I219" s="1109"/>
      <c r="J219" s="597"/>
      <c r="K219" s="597"/>
      <c r="L219" s="597"/>
      <c r="M219" s="597"/>
      <c r="N219" s="597"/>
      <c r="O219" s="597"/>
      <c r="P219" s="597"/>
      <c r="Q219" s="875"/>
      <c r="R219" s="969"/>
      <c r="T219" s="597"/>
      <c r="U219" s="597"/>
    </row>
    <row r="220" spans="1:21" s="595" customFormat="1" hidden="1" x14ac:dyDescent="0.2">
      <c r="A220" s="876"/>
      <c r="B220" s="813"/>
      <c r="C220" s="657"/>
      <c r="D220" s="595" t="s">
        <v>3539</v>
      </c>
      <c r="E220" s="597"/>
      <c r="F220" s="597"/>
      <c r="G220" s="596" t="s">
        <v>3835</v>
      </c>
      <c r="H220" s="596">
        <f>VLOOKUP($D$213,$C$12:$Q$69,$Q$9,FALSE)</f>
        <v>0</v>
      </c>
      <c r="I220" s="1109">
        <f>OR_Eingabe!$H$45</f>
        <v>0</v>
      </c>
      <c r="J220" s="597"/>
      <c r="K220" s="597">
        <f>$I$220</f>
        <v>0</v>
      </c>
      <c r="L220" s="597">
        <f>$I$220</f>
        <v>0</v>
      </c>
      <c r="M220" s="597">
        <f>$I$220</f>
        <v>0</v>
      </c>
      <c r="N220" s="597"/>
      <c r="O220" s="597"/>
      <c r="P220" s="597"/>
      <c r="Q220" s="875"/>
      <c r="R220" s="969"/>
      <c r="T220" s="597"/>
      <c r="U220" s="597"/>
    </row>
    <row r="221" spans="1:21" s="595" customFormat="1" hidden="1" x14ac:dyDescent="0.2">
      <c r="A221" s="876"/>
      <c r="B221" s="813"/>
      <c r="C221" s="657"/>
      <c r="D221" s="595" t="s">
        <v>3541</v>
      </c>
      <c r="E221" s="597"/>
      <c r="F221" s="597"/>
      <c r="G221" s="597"/>
      <c r="H221" s="1160">
        <f>H214</f>
        <v>0</v>
      </c>
      <c r="I221" s="1109">
        <f>I217</f>
        <v>0</v>
      </c>
      <c r="J221" s="597"/>
      <c r="K221" s="597">
        <f>K217</f>
        <v>0</v>
      </c>
      <c r="L221" s="597">
        <f t="shared" ref="L221:M221" si="15">L217</f>
        <v>0</v>
      </c>
      <c r="M221" s="968">
        <f t="shared" si="15"/>
        <v>0</v>
      </c>
      <c r="N221" s="597"/>
      <c r="O221" s="597"/>
      <c r="P221" s="597"/>
      <c r="Q221" s="875"/>
      <c r="R221" s="969"/>
      <c r="T221" s="597"/>
      <c r="U221" s="597"/>
    </row>
    <row r="222" spans="1:21" s="595" customFormat="1" hidden="1" x14ac:dyDescent="0.2">
      <c r="A222" s="876"/>
      <c r="B222" s="813"/>
      <c r="C222" s="657"/>
      <c r="D222" s="595" t="s">
        <v>3540</v>
      </c>
      <c r="E222" s="597"/>
      <c r="F222" s="597"/>
      <c r="G222" s="597"/>
      <c r="H222" s="1160" t="s">
        <v>3309</v>
      </c>
      <c r="I222" s="1109">
        <f>I220*I221</f>
        <v>0</v>
      </c>
      <c r="J222" s="1109"/>
      <c r="K222" s="597">
        <f t="shared" ref="K222:M222" si="16">K220*K221</f>
        <v>0</v>
      </c>
      <c r="L222" s="597">
        <f t="shared" si="16"/>
        <v>0</v>
      </c>
      <c r="M222" s="597">
        <f t="shared" si="16"/>
        <v>0</v>
      </c>
      <c r="N222" s="597"/>
      <c r="O222" s="597"/>
      <c r="P222" s="597"/>
      <c r="Q222" s="875"/>
      <c r="R222" s="969"/>
      <c r="T222" s="597"/>
      <c r="U222" s="597"/>
    </row>
    <row r="223" spans="1:21" s="595" customFormat="1" hidden="1" x14ac:dyDescent="0.2">
      <c r="A223" s="876"/>
      <c r="B223" s="813"/>
      <c r="C223" s="657"/>
      <c r="D223" s="595" t="s">
        <v>3542</v>
      </c>
      <c r="E223" s="597"/>
      <c r="F223" s="597"/>
      <c r="G223" s="597"/>
      <c r="H223" s="1496">
        <v>0.1</v>
      </c>
      <c r="I223" s="1109">
        <f>VLOOKUP(D213,$C$12:$Q$69,$H$9,FALSE)</f>
        <v>0</v>
      </c>
      <c r="J223" s="597"/>
      <c r="K223" s="597"/>
      <c r="L223" s="597"/>
      <c r="M223" s="597"/>
      <c r="N223" s="597"/>
      <c r="O223" s="597"/>
      <c r="P223" s="597"/>
      <c r="Q223" s="875"/>
      <c r="R223" s="969"/>
      <c r="T223" s="597"/>
      <c r="U223" s="597"/>
    </row>
    <row r="224" spans="1:21" s="595" customFormat="1" hidden="1" x14ac:dyDescent="0.2">
      <c r="A224" s="876"/>
      <c r="B224" s="826"/>
      <c r="C224" s="866"/>
      <c r="D224" s="1004" t="s">
        <v>3543</v>
      </c>
      <c r="E224" s="1164"/>
      <c r="F224" s="1164"/>
      <c r="G224" s="1164"/>
      <c r="H224" s="1162" t="s">
        <v>3309</v>
      </c>
      <c r="I224" s="1492">
        <f>I222*I223</f>
        <v>0</v>
      </c>
      <c r="J224" s="1164"/>
      <c r="K224" s="1164"/>
      <c r="L224" s="1164"/>
      <c r="M224" s="1164"/>
      <c r="N224" s="1164"/>
      <c r="O224" s="1164"/>
      <c r="P224" s="1164"/>
      <c r="Q224" s="1493"/>
      <c r="R224" s="969"/>
      <c r="T224" s="597"/>
      <c r="U224" s="597"/>
    </row>
    <row r="225" spans="2:21" s="595" customFormat="1" hidden="1" x14ac:dyDescent="0.2">
      <c r="B225" s="838"/>
      <c r="C225" s="838"/>
      <c r="D225" s="611"/>
      <c r="E225" s="615"/>
      <c r="F225" s="615"/>
      <c r="G225" s="615"/>
      <c r="H225" s="615"/>
      <c r="I225" s="1505"/>
      <c r="J225" s="615"/>
      <c r="K225" s="615"/>
      <c r="L225" s="615"/>
      <c r="M225" s="615"/>
      <c r="N225" s="615"/>
      <c r="O225" s="615"/>
      <c r="P225" s="615"/>
      <c r="Q225" s="615"/>
      <c r="T225" s="597"/>
      <c r="U225" s="597"/>
    </row>
    <row r="226" spans="2:21" s="595" customFormat="1" hidden="1" x14ac:dyDescent="0.2">
      <c r="B226" s="657"/>
      <c r="C226" s="657"/>
      <c r="D226" s="1436" t="s">
        <v>4530</v>
      </c>
      <c r="E226" s="597"/>
      <c r="F226" s="597"/>
      <c r="G226" s="597"/>
      <c r="H226" s="1160"/>
      <c r="I226" s="1109"/>
      <c r="J226" s="597"/>
      <c r="K226" s="597"/>
      <c r="L226" s="597"/>
      <c r="M226" s="597"/>
      <c r="N226" s="597"/>
      <c r="O226" s="597"/>
      <c r="P226" s="597"/>
      <c r="Q226" s="875"/>
      <c r="R226" s="969"/>
      <c r="T226" s="597"/>
      <c r="U226" s="597"/>
    </row>
    <row r="227" spans="2:21" s="595" customFormat="1" hidden="1" x14ac:dyDescent="0.2">
      <c r="B227" s="657"/>
      <c r="C227" s="657"/>
      <c r="D227" s="726">
        <f>OR_Eingabe!$M$49+$C$69</f>
        <v>62</v>
      </c>
      <c r="E227" s="597"/>
      <c r="F227" s="597"/>
      <c r="G227" s="597"/>
      <c r="H227" s="1160"/>
      <c r="I227" s="1109"/>
      <c r="J227" s="597"/>
      <c r="K227" s="597"/>
      <c r="L227" s="597"/>
      <c r="M227" s="597"/>
      <c r="N227" s="597"/>
      <c r="O227" s="597"/>
      <c r="P227" s="597"/>
      <c r="Q227" s="875"/>
      <c r="R227" s="969"/>
      <c r="T227" s="597"/>
      <c r="U227" s="597"/>
    </row>
    <row r="228" spans="2:21" s="595" customFormat="1" hidden="1" x14ac:dyDescent="0.2">
      <c r="B228" s="657"/>
      <c r="C228" s="657"/>
      <c r="D228" s="595" t="str">
        <f>VLOOKUP(OR_Eingabe!$M$49+C69,$C$12:$D$73,$D$9,FALSE)</f>
        <v>keine Düngung mit Kompost</v>
      </c>
      <c r="E228" s="597"/>
      <c r="F228" s="597"/>
      <c r="G228" s="597"/>
      <c r="H228" s="1160">
        <f>VLOOKUP($D$144,$C$12:$Q$73,$P$9,FALSE)</f>
        <v>0</v>
      </c>
      <c r="I228" s="1109">
        <f>VLOOKUP(D227,$C$12:$Q$73,$I$9,FALSE)</f>
        <v>0</v>
      </c>
      <c r="J228" s="597"/>
      <c r="K228" s="597"/>
      <c r="L228" s="597"/>
      <c r="M228" s="597"/>
      <c r="N228" s="597"/>
      <c r="O228" s="597"/>
      <c r="P228" s="597"/>
      <c r="Q228" s="875"/>
      <c r="R228" s="969"/>
      <c r="T228" s="597"/>
      <c r="U228" s="597"/>
    </row>
    <row r="229" spans="2:21" s="595" customFormat="1" hidden="1" x14ac:dyDescent="0.2">
      <c r="B229" s="657"/>
      <c r="C229" s="657"/>
      <c r="E229" s="597"/>
      <c r="F229" s="597"/>
      <c r="G229" s="597"/>
      <c r="H229" s="1160"/>
      <c r="I229" s="1109"/>
      <c r="J229" s="597"/>
      <c r="K229" s="597"/>
      <c r="L229" s="597"/>
      <c r="M229" s="597"/>
      <c r="N229" s="597"/>
      <c r="O229" s="597"/>
      <c r="P229" s="597"/>
      <c r="Q229" s="875"/>
      <c r="R229" s="969"/>
      <c r="T229" s="597"/>
      <c r="U229" s="597"/>
    </row>
    <row r="230" spans="2:21" s="595" customFormat="1" hidden="1" x14ac:dyDescent="0.2">
      <c r="B230" s="657"/>
      <c r="C230" s="657"/>
      <c r="D230" s="595" t="s">
        <v>3740</v>
      </c>
      <c r="E230" s="597"/>
      <c r="F230" s="597"/>
      <c r="G230" s="597"/>
      <c r="H230" s="1160">
        <f>H228</f>
        <v>0</v>
      </c>
      <c r="I230" s="1109">
        <f>IF(D227=63,0,OR_Eingabe!$J$49)</f>
        <v>0</v>
      </c>
      <c r="J230" s="597"/>
      <c r="K230" s="597"/>
      <c r="L230" s="597"/>
      <c r="M230" s="597"/>
      <c r="N230" s="597"/>
      <c r="O230" s="597"/>
      <c r="P230" s="597"/>
      <c r="Q230" s="875"/>
      <c r="R230" s="969"/>
      <c r="T230" s="597"/>
      <c r="U230" s="597"/>
    </row>
    <row r="231" spans="2:21" s="595" customFormat="1" hidden="1" x14ac:dyDescent="0.2">
      <c r="B231" s="657"/>
      <c r="C231" s="657"/>
      <c r="D231" s="1267" t="s">
        <v>3741</v>
      </c>
      <c r="E231" s="1488"/>
      <c r="F231" s="1024" t="s">
        <v>4513</v>
      </c>
      <c r="G231" s="1488">
        <f>IF(OR_Eingabe!$J$49="",1,0)</f>
        <v>1</v>
      </c>
      <c r="H231" s="1160">
        <f>H228</f>
        <v>0</v>
      </c>
      <c r="I231" s="1489">
        <f>IF(AND(I230&gt;=0,G231=0),I230,I228)</f>
        <v>0</v>
      </c>
      <c r="J231" s="597"/>
      <c r="K231" s="597"/>
      <c r="L231" s="597"/>
      <c r="M231" s="597"/>
      <c r="N231" s="597"/>
      <c r="O231" s="597"/>
      <c r="P231" s="597"/>
      <c r="Q231" s="1025" t="s">
        <v>4514</v>
      </c>
      <c r="R231" s="969"/>
      <c r="T231" s="597"/>
      <c r="U231" s="597"/>
    </row>
    <row r="232" spans="2:21" s="595" customFormat="1" hidden="1" x14ac:dyDescent="0.2">
      <c r="B232" s="657"/>
      <c r="C232" s="657"/>
      <c r="E232" s="597"/>
      <c r="F232" s="597"/>
      <c r="G232" s="597"/>
      <c r="H232" s="1160"/>
      <c r="I232" s="1109"/>
      <c r="J232" s="597"/>
      <c r="K232" s="597"/>
      <c r="L232" s="597"/>
      <c r="M232" s="597"/>
      <c r="N232" s="597"/>
      <c r="O232" s="597"/>
      <c r="P232" s="597"/>
      <c r="Q232" s="875"/>
      <c r="R232" s="969"/>
      <c r="T232" s="597"/>
      <c r="U232" s="597"/>
    </row>
    <row r="233" spans="2:21" s="595" customFormat="1" hidden="1" x14ac:dyDescent="0.2">
      <c r="B233" s="657"/>
      <c r="C233" s="657"/>
      <c r="D233" s="595" t="s">
        <v>3538</v>
      </c>
      <c r="E233" s="597"/>
      <c r="F233" s="597"/>
      <c r="G233" s="597"/>
      <c r="H233" s="1160" t="s">
        <v>4531</v>
      </c>
      <c r="I233" s="597" t="s">
        <v>4532</v>
      </c>
      <c r="J233" s="597" t="s">
        <v>4533</v>
      </c>
      <c r="K233" s="597" t="s">
        <v>4534</v>
      </c>
      <c r="L233" s="597"/>
      <c r="M233" s="597"/>
      <c r="N233" s="597"/>
      <c r="O233" s="597"/>
      <c r="P233" s="597"/>
      <c r="Q233" s="875"/>
      <c r="R233" s="969"/>
      <c r="T233" s="597"/>
      <c r="U233" s="597"/>
    </row>
    <row r="234" spans="2:21" s="595" customFormat="1" hidden="1" x14ac:dyDescent="0.2">
      <c r="B234" s="657"/>
      <c r="C234" s="657"/>
      <c r="D234" s="595" t="s">
        <v>3539</v>
      </c>
      <c r="E234" s="597"/>
      <c r="F234" s="597"/>
      <c r="G234" s="597"/>
      <c r="H234" s="1160">
        <f>VLOOKUP($D$144,$C$12:$Q$73,$Q$9,FALSE)</f>
        <v>0</v>
      </c>
      <c r="I234" s="1109">
        <f>OR_Eingabe!$F$49</f>
        <v>0</v>
      </c>
      <c r="J234" s="1109">
        <f>OR_Eingabe!$G$49</f>
        <v>0</v>
      </c>
      <c r="K234" s="1109">
        <f>OR_Eingabe!$H$49</f>
        <v>0</v>
      </c>
      <c r="L234" s="597"/>
      <c r="M234" s="597"/>
      <c r="N234" s="597"/>
      <c r="O234" s="597"/>
      <c r="P234" s="597"/>
      <c r="Q234" s="875"/>
      <c r="R234" s="969"/>
      <c r="T234" s="597"/>
      <c r="U234" s="597"/>
    </row>
    <row r="235" spans="2:21" s="595" customFormat="1" hidden="1" x14ac:dyDescent="0.2">
      <c r="B235" s="657"/>
      <c r="C235" s="657"/>
      <c r="D235" s="595" t="s">
        <v>3541</v>
      </c>
      <c r="E235" s="597"/>
      <c r="F235" s="597"/>
      <c r="G235" s="597"/>
      <c r="H235" s="1160">
        <f>H228</f>
        <v>0</v>
      </c>
      <c r="I235" s="1109">
        <f>I231</f>
        <v>0</v>
      </c>
      <c r="J235" s="1109">
        <f>I231</f>
        <v>0</v>
      </c>
      <c r="K235" s="1109">
        <f>I231</f>
        <v>0</v>
      </c>
      <c r="L235" s="597"/>
      <c r="M235" s="597"/>
      <c r="N235" s="597"/>
      <c r="O235" s="597"/>
      <c r="P235" s="597"/>
      <c r="Q235" s="875"/>
      <c r="R235" s="969"/>
      <c r="T235" s="597"/>
      <c r="U235" s="597"/>
    </row>
    <row r="236" spans="2:21" s="595" customFormat="1" hidden="1" x14ac:dyDescent="0.2">
      <c r="B236" s="657"/>
      <c r="C236" s="657"/>
      <c r="D236" s="595" t="s">
        <v>3540</v>
      </c>
      <c r="E236" s="597"/>
      <c r="F236" s="597"/>
      <c r="G236" s="597"/>
      <c r="H236" s="1160" t="s">
        <v>3309</v>
      </c>
      <c r="I236" s="1109">
        <f>I234*I235</f>
        <v>0</v>
      </c>
      <c r="J236" s="1109">
        <f>J234*J235</f>
        <v>0</v>
      </c>
      <c r="K236" s="1109">
        <f t="shared" ref="K236" si="17">K234*K235</f>
        <v>0</v>
      </c>
      <c r="L236" s="597"/>
      <c r="M236" s="597"/>
      <c r="N236" s="597"/>
      <c r="O236" s="597"/>
      <c r="P236" s="597"/>
      <c r="Q236" s="875"/>
      <c r="R236" s="969"/>
      <c r="T236" s="597"/>
      <c r="U236" s="597"/>
    </row>
    <row r="237" spans="2:21" s="595" customFormat="1" hidden="1" x14ac:dyDescent="0.2">
      <c r="B237" s="657"/>
      <c r="C237" s="657"/>
      <c r="D237" s="595" t="s">
        <v>3542</v>
      </c>
      <c r="E237" s="597"/>
      <c r="F237" s="597"/>
      <c r="G237" s="597"/>
      <c r="H237" s="1496"/>
      <c r="I237" s="1109">
        <v>0.04</v>
      </c>
      <c r="J237" s="1160">
        <v>0.03</v>
      </c>
      <c r="K237" s="1160">
        <v>0.03</v>
      </c>
      <c r="L237" s="597"/>
      <c r="M237" s="597"/>
      <c r="N237" s="597"/>
      <c r="O237" s="597"/>
      <c r="P237" s="597"/>
      <c r="Q237" s="875"/>
      <c r="R237" s="969"/>
      <c r="T237" s="597"/>
      <c r="U237" s="597"/>
    </row>
    <row r="238" spans="2:21" s="595" customFormat="1" hidden="1" x14ac:dyDescent="0.2">
      <c r="B238" s="657"/>
      <c r="C238" s="657"/>
      <c r="D238" s="595" t="s">
        <v>4147</v>
      </c>
      <c r="E238" s="597"/>
      <c r="F238" s="597"/>
      <c r="G238" s="597"/>
      <c r="H238" s="1496"/>
      <c r="I238" s="1109">
        <f>SUMPRODUCT(I236:K236,I237:K237)</f>
        <v>0</v>
      </c>
      <c r="J238" s="597"/>
      <c r="K238" s="597"/>
      <c r="L238" s="597"/>
      <c r="M238" s="597"/>
      <c r="N238" s="597"/>
      <c r="O238" s="597"/>
      <c r="P238" s="597"/>
      <c r="Q238" s="875"/>
      <c r="R238" s="969"/>
      <c r="T238" s="597"/>
      <c r="U238" s="597"/>
    </row>
    <row r="239" spans="2:21" s="595" customFormat="1" hidden="1" x14ac:dyDescent="0.2">
      <c r="B239" s="657"/>
      <c r="C239" s="657"/>
      <c r="D239" s="1497" t="s">
        <v>4146</v>
      </c>
      <c r="E239" s="1498"/>
      <c r="F239" s="1498"/>
      <c r="G239" s="1498"/>
      <c r="H239" s="1499" t="s">
        <v>3309</v>
      </c>
      <c r="I239" s="1500">
        <v>17</v>
      </c>
      <c r="J239" s="597"/>
      <c r="K239" s="597"/>
      <c r="L239" s="597"/>
      <c r="M239" s="597"/>
      <c r="N239" s="597"/>
      <c r="O239" s="597"/>
      <c r="P239" s="597"/>
      <c r="Q239" s="875"/>
      <c r="R239" s="969"/>
      <c r="T239" s="597"/>
      <c r="U239" s="597"/>
    </row>
    <row r="240" spans="2:21" s="595" customFormat="1" hidden="1" x14ac:dyDescent="0.2">
      <c r="B240" s="657"/>
      <c r="C240" s="657"/>
      <c r="D240" s="595" t="s">
        <v>4540</v>
      </c>
      <c r="E240" s="597"/>
      <c r="F240" s="597"/>
      <c r="G240" s="597"/>
      <c r="H240" s="1160" t="s">
        <v>3309</v>
      </c>
      <c r="I240" s="1490">
        <f>IF(AND(OR(ISBLANK(OR_Eingabe!$F$49),ISBLANK(OR_Eingabe!$G$49),ISBLANK(OR_Eingabe!$H$49)),OR_Eingabe!$M$49&lt;4),Due_org!$I$239,Due_org!$I$238)</f>
        <v>0</v>
      </c>
      <c r="J240" s="597"/>
      <c r="K240" s="597"/>
      <c r="L240" s="597"/>
      <c r="M240" s="597"/>
      <c r="N240" s="597"/>
      <c r="O240" s="597"/>
      <c r="P240" s="597"/>
      <c r="Q240" s="875" t="s">
        <v>4541</v>
      </c>
      <c r="R240" s="969"/>
      <c r="T240" s="597"/>
      <c r="U240" s="597"/>
    </row>
    <row r="241" spans="2:21" s="595" customFormat="1" hidden="1" x14ac:dyDescent="0.2">
      <c r="B241" s="657"/>
      <c r="C241" s="657"/>
      <c r="E241" s="597"/>
      <c r="F241" s="597"/>
      <c r="G241" s="597"/>
      <c r="H241" s="597"/>
      <c r="I241" s="1109"/>
      <c r="J241" s="597"/>
      <c r="K241" s="597"/>
      <c r="L241" s="597"/>
      <c r="M241" s="597"/>
      <c r="N241" s="597"/>
      <c r="O241" s="597"/>
      <c r="P241" s="597"/>
      <c r="Q241" s="597"/>
      <c r="T241" s="597"/>
      <c r="U241" s="597"/>
    </row>
    <row r="242" spans="2:21" s="595" customFormat="1" hidden="1" x14ac:dyDescent="0.2">
      <c r="B242" s="657"/>
      <c r="C242" s="657"/>
      <c r="E242" s="597"/>
      <c r="F242" s="597"/>
      <c r="G242" s="597"/>
      <c r="H242" s="597"/>
      <c r="I242" s="1109"/>
      <c r="J242" s="597"/>
      <c r="K242" s="597"/>
      <c r="L242" s="597"/>
      <c r="M242" s="597"/>
      <c r="N242" s="597"/>
      <c r="O242" s="597"/>
      <c r="P242" s="597"/>
      <c r="Q242" s="597"/>
      <c r="T242" s="597"/>
      <c r="U242" s="597"/>
    </row>
    <row r="243" spans="2:21" s="595" customFormat="1" hidden="1" x14ac:dyDescent="0.2">
      <c r="B243" s="657"/>
      <c r="C243" s="657"/>
      <c r="E243" s="597"/>
      <c r="F243" s="597"/>
      <c r="G243" s="597"/>
      <c r="H243" s="597"/>
      <c r="I243" s="1109"/>
      <c r="J243" s="597"/>
      <c r="K243" s="597"/>
      <c r="L243" s="597"/>
      <c r="M243" s="597"/>
      <c r="N243" s="597"/>
      <c r="O243" s="597"/>
      <c r="P243" s="597"/>
      <c r="Q243" s="597"/>
      <c r="T243" s="597"/>
      <c r="U243" s="597"/>
    </row>
    <row r="244" spans="2:21" s="595" customFormat="1" hidden="1" x14ac:dyDescent="0.2">
      <c r="B244" s="657"/>
      <c r="C244" s="657"/>
      <c r="E244" s="597"/>
      <c r="F244" s="597"/>
      <c r="G244" s="597"/>
      <c r="H244" s="597"/>
      <c r="I244" s="1109"/>
      <c r="J244" s="597"/>
      <c r="K244" s="597"/>
      <c r="L244" s="597"/>
      <c r="M244" s="597"/>
      <c r="N244" s="597"/>
      <c r="O244" s="597"/>
      <c r="P244" s="597"/>
      <c r="Q244" s="597"/>
      <c r="T244" s="597"/>
      <c r="U244" s="597"/>
    </row>
  </sheetData>
  <sheetProtection password="8677" sheet="1" objects="1" scenarios="1"/>
  <mergeCells count="1">
    <mergeCell ref="I11:N11"/>
  </mergeCells>
  <printOptions horizontalCentered="1" verticalCentered="1"/>
  <pageMargins left="0.78740157480314965" right="0.59055118110236227" top="0.39370078740157483" bottom="0.39370078740157483" header="0" footer="0.11811023622047245"/>
  <pageSetup paperSize="9" fitToWidth="0" fitToHeight="5" orientation="landscape" horizontalDpi="1200" verticalDpi="1200" r:id="rId1"/>
  <headerFooter alignWithMargins="0">
    <oddFooter>&amp;L&amp;8LEL / LTZ / LAZBW / LWA-DS&amp;C&amp;8&amp;F  &amp;A&amp;R&amp;8&amp;D</oddFooter>
  </headerFooter>
  <rowBreaks count="1" manualBreakCount="1">
    <brk id="35" min="1" max="13" man="1"/>
  </row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6" tint="-0.249977111117893"/>
    <pageSetUpPr fitToPage="1"/>
  </sheetPr>
  <dimension ref="A1:AK109"/>
  <sheetViews>
    <sheetView zoomScaleNormal="100" workbookViewId="0">
      <pane ySplit="12" topLeftCell="A22" activePane="bottomLeft" state="frozen"/>
      <selection activeCell="A173" sqref="A173"/>
      <selection pane="bottomLeft" activeCell="A173" sqref="A173"/>
    </sheetView>
  </sheetViews>
  <sheetFormatPr baseColWidth="10" defaultColWidth="8.125" defaultRowHeight="13.7" customHeight="1" x14ac:dyDescent="0.2"/>
  <cols>
    <col min="1" max="1" width="2.75" style="146" customWidth="1"/>
    <col min="2" max="2" width="3.5" style="146" customWidth="1"/>
    <col min="3" max="3" width="49.5" style="146" customWidth="1"/>
    <col min="4" max="4" width="17" style="576" customWidth="1"/>
    <col min="5" max="5" width="22.375" style="576" customWidth="1"/>
    <col min="6" max="6" width="35.125" style="576" customWidth="1"/>
    <col min="7" max="7" width="11.5" style="576" customWidth="1"/>
    <col min="8" max="8" width="11.75" style="576" customWidth="1"/>
    <col min="9" max="9" width="10" style="146" customWidth="1"/>
    <col min="10" max="10" width="8.375" style="146" customWidth="1"/>
    <col min="11" max="11" width="24.625" style="146" customWidth="1"/>
    <col min="12" max="12" width="8.125" style="146" customWidth="1"/>
    <col min="13" max="13" width="17.125" style="146" customWidth="1"/>
    <col min="14" max="24" width="8.125" style="146" customWidth="1"/>
    <col min="25" max="256" width="8.125" style="146"/>
    <col min="257" max="257" width="1.5" style="146" customWidth="1"/>
    <col min="258" max="258" width="3.5" style="146" customWidth="1"/>
    <col min="259" max="259" width="29.125" style="146" customWidth="1"/>
    <col min="260" max="280" width="8.125" style="146" customWidth="1"/>
    <col min="281" max="512" width="8.125" style="146"/>
    <col min="513" max="513" width="1.5" style="146" customWidth="1"/>
    <col min="514" max="514" width="3.5" style="146" customWidth="1"/>
    <col min="515" max="515" width="29.125" style="146" customWidth="1"/>
    <col min="516" max="536" width="8.125" style="146" customWidth="1"/>
    <col min="537" max="768" width="8.125" style="146"/>
    <col min="769" max="769" width="1.5" style="146" customWidth="1"/>
    <col min="770" max="770" width="3.5" style="146" customWidth="1"/>
    <col min="771" max="771" width="29.125" style="146" customWidth="1"/>
    <col min="772" max="792" width="8.125" style="146" customWidth="1"/>
    <col min="793" max="1024" width="8.125" style="146"/>
    <col min="1025" max="1025" width="1.5" style="146" customWidth="1"/>
    <col min="1026" max="1026" width="3.5" style="146" customWidth="1"/>
    <col min="1027" max="1027" width="29.125" style="146" customWidth="1"/>
    <col min="1028" max="1048" width="8.125" style="146" customWidth="1"/>
    <col min="1049" max="1280" width="8.125" style="146"/>
    <col min="1281" max="1281" width="1.5" style="146" customWidth="1"/>
    <col min="1282" max="1282" width="3.5" style="146" customWidth="1"/>
    <col min="1283" max="1283" width="29.125" style="146" customWidth="1"/>
    <col min="1284" max="1304" width="8.125" style="146" customWidth="1"/>
    <col min="1305" max="1536" width="8.125" style="146"/>
    <col min="1537" max="1537" width="1.5" style="146" customWidth="1"/>
    <col min="1538" max="1538" width="3.5" style="146" customWidth="1"/>
    <col min="1539" max="1539" width="29.125" style="146" customWidth="1"/>
    <col min="1540" max="1560" width="8.125" style="146" customWidth="1"/>
    <col min="1561" max="1792" width="8.125" style="146"/>
    <col min="1793" max="1793" width="1.5" style="146" customWidth="1"/>
    <col min="1794" max="1794" width="3.5" style="146" customWidth="1"/>
    <col min="1795" max="1795" width="29.125" style="146" customWidth="1"/>
    <col min="1796" max="1816" width="8.125" style="146" customWidth="1"/>
    <col min="1817" max="2048" width="8.125" style="146"/>
    <col min="2049" max="2049" width="1.5" style="146" customWidth="1"/>
    <col min="2050" max="2050" width="3.5" style="146" customWidth="1"/>
    <col min="2051" max="2051" width="29.125" style="146" customWidth="1"/>
    <col min="2052" max="2072" width="8.125" style="146" customWidth="1"/>
    <col min="2073" max="2304" width="8.125" style="146"/>
    <col min="2305" max="2305" width="1.5" style="146" customWidth="1"/>
    <col min="2306" max="2306" width="3.5" style="146" customWidth="1"/>
    <col min="2307" max="2307" width="29.125" style="146" customWidth="1"/>
    <col min="2308" max="2328" width="8.125" style="146" customWidth="1"/>
    <col min="2329" max="2560" width="8.125" style="146"/>
    <col min="2561" max="2561" width="1.5" style="146" customWidth="1"/>
    <col min="2562" max="2562" width="3.5" style="146" customWidth="1"/>
    <col min="2563" max="2563" width="29.125" style="146" customWidth="1"/>
    <col min="2564" max="2584" width="8.125" style="146" customWidth="1"/>
    <col min="2585" max="2816" width="8.125" style="146"/>
    <col min="2817" max="2817" width="1.5" style="146" customWidth="1"/>
    <col min="2818" max="2818" width="3.5" style="146" customWidth="1"/>
    <col min="2819" max="2819" width="29.125" style="146" customWidth="1"/>
    <col min="2820" max="2840" width="8.125" style="146" customWidth="1"/>
    <col min="2841" max="3072" width="8.125" style="146"/>
    <col min="3073" max="3073" width="1.5" style="146" customWidth="1"/>
    <col min="3074" max="3074" width="3.5" style="146" customWidth="1"/>
    <col min="3075" max="3075" width="29.125" style="146" customWidth="1"/>
    <col min="3076" max="3096" width="8.125" style="146" customWidth="1"/>
    <col min="3097" max="3328" width="8.125" style="146"/>
    <col min="3329" max="3329" width="1.5" style="146" customWidth="1"/>
    <col min="3330" max="3330" width="3.5" style="146" customWidth="1"/>
    <col min="3331" max="3331" width="29.125" style="146" customWidth="1"/>
    <col min="3332" max="3352" width="8.125" style="146" customWidth="1"/>
    <col min="3353" max="3584" width="8.125" style="146"/>
    <col min="3585" max="3585" width="1.5" style="146" customWidth="1"/>
    <col min="3586" max="3586" width="3.5" style="146" customWidth="1"/>
    <col min="3587" max="3587" width="29.125" style="146" customWidth="1"/>
    <col min="3588" max="3608" width="8.125" style="146" customWidth="1"/>
    <col min="3609" max="3840" width="8.125" style="146"/>
    <col min="3841" max="3841" width="1.5" style="146" customWidth="1"/>
    <col min="3842" max="3842" width="3.5" style="146" customWidth="1"/>
    <col min="3843" max="3843" width="29.125" style="146" customWidth="1"/>
    <col min="3844" max="3864" width="8.125" style="146" customWidth="1"/>
    <col min="3865" max="4096" width="8.125" style="146"/>
    <col min="4097" max="4097" width="1.5" style="146" customWidth="1"/>
    <col min="4098" max="4098" width="3.5" style="146" customWidth="1"/>
    <col min="4099" max="4099" width="29.125" style="146" customWidth="1"/>
    <col min="4100" max="4120" width="8.125" style="146" customWidth="1"/>
    <col min="4121" max="4352" width="8.125" style="146"/>
    <col min="4353" max="4353" width="1.5" style="146" customWidth="1"/>
    <col min="4354" max="4354" width="3.5" style="146" customWidth="1"/>
    <col min="4355" max="4355" width="29.125" style="146" customWidth="1"/>
    <col min="4356" max="4376" width="8.125" style="146" customWidth="1"/>
    <col min="4377" max="4608" width="8.125" style="146"/>
    <col min="4609" max="4609" width="1.5" style="146" customWidth="1"/>
    <col min="4610" max="4610" width="3.5" style="146" customWidth="1"/>
    <col min="4611" max="4611" width="29.125" style="146" customWidth="1"/>
    <col min="4612" max="4632" width="8.125" style="146" customWidth="1"/>
    <col min="4633" max="4864" width="8.125" style="146"/>
    <col min="4865" max="4865" width="1.5" style="146" customWidth="1"/>
    <col min="4866" max="4866" width="3.5" style="146" customWidth="1"/>
    <col min="4867" max="4867" width="29.125" style="146" customWidth="1"/>
    <col min="4868" max="4888" width="8.125" style="146" customWidth="1"/>
    <col min="4889" max="5120" width="8.125" style="146"/>
    <col min="5121" max="5121" width="1.5" style="146" customWidth="1"/>
    <col min="5122" max="5122" width="3.5" style="146" customWidth="1"/>
    <col min="5123" max="5123" width="29.125" style="146" customWidth="1"/>
    <col min="5124" max="5144" width="8.125" style="146" customWidth="1"/>
    <col min="5145" max="5376" width="8.125" style="146"/>
    <col min="5377" max="5377" width="1.5" style="146" customWidth="1"/>
    <col min="5378" max="5378" width="3.5" style="146" customWidth="1"/>
    <col min="5379" max="5379" width="29.125" style="146" customWidth="1"/>
    <col min="5380" max="5400" width="8.125" style="146" customWidth="1"/>
    <col min="5401" max="5632" width="8.125" style="146"/>
    <col min="5633" max="5633" width="1.5" style="146" customWidth="1"/>
    <col min="5634" max="5634" width="3.5" style="146" customWidth="1"/>
    <col min="5635" max="5635" width="29.125" style="146" customWidth="1"/>
    <col min="5636" max="5656" width="8.125" style="146" customWidth="1"/>
    <col min="5657" max="5888" width="8.125" style="146"/>
    <col min="5889" max="5889" width="1.5" style="146" customWidth="1"/>
    <col min="5890" max="5890" width="3.5" style="146" customWidth="1"/>
    <col min="5891" max="5891" width="29.125" style="146" customWidth="1"/>
    <col min="5892" max="5912" width="8.125" style="146" customWidth="1"/>
    <col min="5913" max="6144" width="8.125" style="146"/>
    <col min="6145" max="6145" width="1.5" style="146" customWidth="1"/>
    <col min="6146" max="6146" width="3.5" style="146" customWidth="1"/>
    <col min="6147" max="6147" width="29.125" style="146" customWidth="1"/>
    <col min="6148" max="6168" width="8.125" style="146" customWidth="1"/>
    <col min="6169" max="6400" width="8.125" style="146"/>
    <col min="6401" max="6401" width="1.5" style="146" customWidth="1"/>
    <col min="6402" max="6402" width="3.5" style="146" customWidth="1"/>
    <col min="6403" max="6403" width="29.125" style="146" customWidth="1"/>
    <col min="6404" max="6424" width="8.125" style="146" customWidth="1"/>
    <col min="6425" max="6656" width="8.125" style="146"/>
    <col min="6657" max="6657" width="1.5" style="146" customWidth="1"/>
    <col min="6658" max="6658" width="3.5" style="146" customWidth="1"/>
    <col min="6659" max="6659" width="29.125" style="146" customWidth="1"/>
    <col min="6660" max="6680" width="8.125" style="146" customWidth="1"/>
    <col min="6681" max="6912" width="8.125" style="146"/>
    <col min="6913" max="6913" width="1.5" style="146" customWidth="1"/>
    <col min="6914" max="6914" width="3.5" style="146" customWidth="1"/>
    <col min="6915" max="6915" width="29.125" style="146" customWidth="1"/>
    <col min="6916" max="6936" width="8.125" style="146" customWidth="1"/>
    <col min="6937" max="7168" width="8.125" style="146"/>
    <col min="7169" max="7169" width="1.5" style="146" customWidth="1"/>
    <col min="7170" max="7170" width="3.5" style="146" customWidth="1"/>
    <col min="7171" max="7171" width="29.125" style="146" customWidth="1"/>
    <col min="7172" max="7192" width="8.125" style="146" customWidth="1"/>
    <col min="7193" max="7424" width="8.125" style="146"/>
    <col min="7425" max="7425" width="1.5" style="146" customWidth="1"/>
    <col min="7426" max="7426" width="3.5" style="146" customWidth="1"/>
    <col min="7427" max="7427" width="29.125" style="146" customWidth="1"/>
    <col min="7428" max="7448" width="8.125" style="146" customWidth="1"/>
    <col min="7449" max="7680" width="8.125" style="146"/>
    <col min="7681" max="7681" width="1.5" style="146" customWidth="1"/>
    <col min="7682" max="7682" width="3.5" style="146" customWidth="1"/>
    <col min="7683" max="7683" width="29.125" style="146" customWidth="1"/>
    <col min="7684" max="7704" width="8.125" style="146" customWidth="1"/>
    <col min="7705" max="7936" width="8.125" style="146"/>
    <col min="7937" max="7937" width="1.5" style="146" customWidth="1"/>
    <col min="7938" max="7938" width="3.5" style="146" customWidth="1"/>
    <col min="7939" max="7939" width="29.125" style="146" customWidth="1"/>
    <col min="7940" max="7960" width="8.125" style="146" customWidth="1"/>
    <col min="7961" max="8192" width="8.125" style="146"/>
    <col min="8193" max="8193" width="1.5" style="146" customWidth="1"/>
    <col min="8194" max="8194" width="3.5" style="146" customWidth="1"/>
    <col min="8195" max="8195" width="29.125" style="146" customWidth="1"/>
    <col min="8196" max="8216" width="8.125" style="146" customWidth="1"/>
    <col min="8217" max="8448" width="8.125" style="146"/>
    <col min="8449" max="8449" width="1.5" style="146" customWidth="1"/>
    <col min="8450" max="8450" width="3.5" style="146" customWidth="1"/>
    <col min="8451" max="8451" width="29.125" style="146" customWidth="1"/>
    <col min="8452" max="8472" width="8.125" style="146" customWidth="1"/>
    <col min="8473" max="8704" width="8.125" style="146"/>
    <col min="8705" max="8705" width="1.5" style="146" customWidth="1"/>
    <col min="8706" max="8706" width="3.5" style="146" customWidth="1"/>
    <col min="8707" max="8707" width="29.125" style="146" customWidth="1"/>
    <col min="8708" max="8728" width="8.125" style="146" customWidth="1"/>
    <col min="8729" max="8960" width="8.125" style="146"/>
    <col min="8961" max="8961" width="1.5" style="146" customWidth="1"/>
    <col min="8962" max="8962" width="3.5" style="146" customWidth="1"/>
    <col min="8963" max="8963" width="29.125" style="146" customWidth="1"/>
    <col min="8964" max="8984" width="8.125" style="146" customWidth="1"/>
    <col min="8985" max="9216" width="8.125" style="146"/>
    <col min="9217" max="9217" width="1.5" style="146" customWidth="1"/>
    <col min="9218" max="9218" width="3.5" style="146" customWidth="1"/>
    <col min="9219" max="9219" width="29.125" style="146" customWidth="1"/>
    <col min="9220" max="9240" width="8.125" style="146" customWidth="1"/>
    <col min="9241" max="9472" width="8.125" style="146"/>
    <col min="9473" max="9473" width="1.5" style="146" customWidth="1"/>
    <col min="9474" max="9474" width="3.5" style="146" customWidth="1"/>
    <col min="9475" max="9475" width="29.125" style="146" customWidth="1"/>
    <col min="9476" max="9496" width="8.125" style="146" customWidth="1"/>
    <col min="9497" max="9728" width="8.125" style="146"/>
    <col min="9729" max="9729" width="1.5" style="146" customWidth="1"/>
    <col min="9730" max="9730" width="3.5" style="146" customWidth="1"/>
    <col min="9731" max="9731" width="29.125" style="146" customWidth="1"/>
    <col min="9732" max="9752" width="8.125" style="146" customWidth="1"/>
    <col min="9753" max="9984" width="8.125" style="146"/>
    <col min="9985" max="9985" width="1.5" style="146" customWidth="1"/>
    <col min="9986" max="9986" width="3.5" style="146" customWidth="1"/>
    <col min="9987" max="9987" width="29.125" style="146" customWidth="1"/>
    <col min="9988" max="10008" width="8.125" style="146" customWidth="1"/>
    <col min="10009" max="10240" width="8.125" style="146"/>
    <col min="10241" max="10241" width="1.5" style="146" customWidth="1"/>
    <col min="10242" max="10242" width="3.5" style="146" customWidth="1"/>
    <col min="10243" max="10243" width="29.125" style="146" customWidth="1"/>
    <col min="10244" max="10264" width="8.125" style="146" customWidth="1"/>
    <col min="10265" max="10496" width="8.125" style="146"/>
    <col min="10497" max="10497" width="1.5" style="146" customWidth="1"/>
    <col min="10498" max="10498" width="3.5" style="146" customWidth="1"/>
    <col min="10499" max="10499" width="29.125" style="146" customWidth="1"/>
    <col min="10500" max="10520" width="8.125" style="146" customWidth="1"/>
    <col min="10521" max="10752" width="8.125" style="146"/>
    <col min="10753" max="10753" width="1.5" style="146" customWidth="1"/>
    <col min="10754" max="10754" width="3.5" style="146" customWidth="1"/>
    <col min="10755" max="10755" width="29.125" style="146" customWidth="1"/>
    <col min="10756" max="10776" width="8.125" style="146" customWidth="1"/>
    <col min="10777" max="11008" width="8.125" style="146"/>
    <col min="11009" max="11009" width="1.5" style="146" customWidth="1"/>
    <col min="11010" max="11010" width="3.5" style="146" customWidth="1"/>
    <col min="11011" max="11011" width="29.125" style="146" customWidth="1"/>
    <col min="11012" max="11032" width="8.125" style="146" customWidth="1"/>
    <col min="11033" max="11264" width="8.125" style="146"/>
    <col min="11265" max="11265" width="1.5" style="146" customWidth="1"/>
    <col min="11266" max="11266" width="3.5" style="146" customWidth="1"/>
    <col min="11267" max="11267" width="29.125" style="146" customWidth="1"/>
    <col min="11268" max="11288" width="8.125" style="146" customWidth="1"/>
    <col min="11289" max="11520" width="8.125" style="146"/>
    <col min="11521" max="11521" width="1.5" style="146" customWidth="1"/>
    <col min="11522" max="11522" width="3.5" style="146" customWidth="1"/>
    <col min="11523" max="11523" width="29.125" style="146" customWidth="1"/>
    <col min="11524" max="11544" width="8.125" style="146" customWidth="1"/>
    <col min="11545" max="11776" width="8.125" style="146"/>
    <col min="11777" max="11777" width="1.5" style="146" customWidth="1"/>
    <col min="11778" max="11778" width="3.5" style="146" customWidth="1"/>
    <col min="11779" max="11779" width="29.125" style="146" customWidth="1"/>
    <col min="11780" max="11800" width="8.125" style="146" customWidth="1"/>
    <col min="11801" max="12032" width="8.125" style="146"/>
    <col min="12033" max="12033" width="1.5" style="146" customWidth="1"/>
    <col min="12034" max="12034" width="3.5" style="146" customWidth="1"/>
    <col min="12035" max="12035" width="29.125" style="146" customWidth="1"/>
    <col min="12036" max="12056" width="8.125" style="146" customWidth="1"/>
    <col min="12057" max="12288" width="8.125" style="146"/>
    <col min="12289" max="12289" width="1.5" style="146" customWidth="1"/>
    <col min="12290" max="12290" width="3.5" style="146" customWidth="1"/>
    <col min="12291" max="12291" width="29.125" style="146" customWidth="1"/>
    <col min="12292" max="12312" width="8.125" style="146" customWidth="1"/>
    <col min="12313" max="12544" width="8.125" style="146"/>
    <col min="12545" max="12545" width="1.5" style="146" customWidth="1"/>
    <col min="12546" max="12546" width="3.5" style="146" customWidth="1"/>
    <col min="12547" max="12547" width="29.125" style="146" customWidth="1"/>
    <col min="12548" max="12568" width="8.125" style="146" customWidth="1"/>
    <col min="12569" max="12800" width="8.125" style="146"/>
    <col min="12801" max="12801" width="1.5" style="146" customWidth="1"/>
    <col min="12802" max="12802" width="3.5" style="146" customWidth="1"/>
    <col min="12803" max="12803" width="29.125" style="146" customWidth="1"/>
    <col min="12804" max="12824" width="8.125" style="146" customWidth="1"/>
    <col min="12825" max="13056" width="8.125" style="146"/>
    <col min="13057" max="13057" width="1.5" style="146" customWidth="1"/>
    <col min="13058" max="13058" width="3.5" style="146" customWidth="1"/>
    <col min="13059" max="13059" width="29.125" style="146" customWidth="1"/>
    <col min="13060" max="13080" width="8.125" style="146" customWidth="1"/>
    <col min="13081" max="13312" width="8.125" style="146"/>
    <col min="13313" max="13313" width="1.5" style="146" customWidth="1"/>
    <col min="13314" max="13314" width="3.5" style="146" customWidth="1"/>
    <col min="13315" max="13315" width="29.125" style="146" customWidth="1"/>
    <col min="13316" max="13336" width="8.125" style="146" customWidth="1"/>
    <col min="13337" max="13568" width="8.125" style="146"/>
    <col min="13569" max="13569" width="1.5" style="146" customWidth="1"/>
    <col min="13570" max="13570" width="3.5" style="146" customWidth="1"/>
    <col min="13571" max="13571" width="29.125" style="146" customWidth="1"/>
    <col min="13572" max="13592" width="8.125" style="146" customWidth="1"/>
    <col min="13593" max="13824" width="8.125" style="146"/>
    <col min="13825" max="13825" width="1.5" style="146" customWidth="1"/>
    <col min="13826" max="13826" width="3.5" style="146" customWidth="1"/>
    <col min="13827" max="13827" width="29.125" style="146" customWidth="1"/>
    <col min="13828" max="13848" width="8.125" style="146" customWidth="1"/>
    <col min="13849" max="14080" width="8.125" style="146"/>
    <col min="14081" max="14081" width="1.5" style="146" customWidth="1"/>
    <col min="14082" max="14082" width="3.5" style="146" customWidth="1"/>
    <col min="14083" max="14083" width="29.125" style="146" customWidth="1"/>
    <col min="14084" max="14104" width="8.125" style="146" customWidth="1"/>
    <col min="14105" max="14336" width="8.125" style="146"/>
    <col min="14337" max="14337" width="1.5" style="146" customWidth="1"/>
    <col min="14338" max="14338" width="3.5" style="146" customWidth="1"/>
    <col min="14339" max="14339" width="29.125" style="146" customWidth="1"/>
    <col min="14340" max="14360" width="8.125" style="146" customWidth="1"/>
    <col min="14361" max="14592" width="8.125" style="146"/>
    <col min="14593" max="14593" width="1.5" style="146" customWidth="1"/>
    <col min="14594" max="14594" width="3.5" style="146" customWidth="1"/>
    <col min="14595" max="14595" width="29.125" style="146" customWidth="1"/>
    <col min="14596" max="14616" width="8.125" style="146" customWidth="1"/>
    <col min="14617" max="14848" width="8.125" style="146"/>
    <col min="14849" max="14849" width="1.5" style="146" customWidth="1"/>
    <col min="14850" max="14850" width="3.5" style="146" customWidth="1"/>
    <col min="14851" max="14851" width="29.125" style="146" customWidth="1"/>
    <col min="14852" max="14872" width="8.125" style="146" customWidth="1"/>
    <col min="14873" max="15104" width="8.125" style="146"/>
    <col min="15105" max="15105" width="1.5" style="146" customWidth="1"/>
    <col min="15106" max="15106" width="3.5" style="146" customWidth="1"/>
    <col min="15107" max="15107" width="29.125" style="146" customWidth="1"/>
    <col min="15108" max="15128" width="8.125" style="146" customWidth="1"/>
    <col min="15129" max="15360" width="8.125" style="146"/>
    <col min="15361" max="15361" width="1.5" style="146" customWidth="1"/>
    <col min="15362" max="15362" width="3.5" style="146" customWidth="1"/>
    <col min="15363" max="15363" width="29.125" style="146" customWidth="1"/>
    <col min="15364" max="15384" width="8.125" style="146" customWidth="1"/>
    <col min="15385" max="15616" width="8.125" style="146"/>
    <col min="15617" max="15617" width="1.5" style="146" customWidth="1"/>
    <col min="15618" max="15618" width="3.5" style="146" customWidth="1"/>
    <col min="15619" max="15619" width="29.125" style="146" customWidth="1"/>
    <col min="15620" max="15640" width="8.125" style="146" customWidth="1"/>
    <col min="15641" max="15872" width="8.125" style="146"/>
    <col min="15873" max="15873" width="1.5" style="146" customWidth="1"/>
    <col min="15874" max="15874" width="3.5" style="146" customWidth="1"/>
    <col min="15875" max="15875" width="29.125" style="146" customWidth="1"/>
    <col min="15876" max="15896" width="8.125" style="146" customWidth="1"/>
    <col min="15897" max="16128" width="8.125" style="146"/>
    <col min="16129" max="16129" width="1.5" style="146" customWidth="1"/>
    <col min="16130" max="16130" width="3.5" style="146" customWidth="1"/>
    <col min="16131" max="16131" width="29.125" style="146" customWidth="1"/>
    <col min="16132" max="16152" width="8.125" style="146" customWidth="1"/>
    <col min="16153" max="16384" width="8.125" style="146"/>
  </cols>
  <sheetData>
    <row r="1" spans="1:37" ht="31.7" customHeight="1" x14ac:dyDescent="0.25">
      <c r="C1" s="808" t="str">
        <f>Startmenue!G2</f>
        <v>Version 1.2</v>
      </c>
      <c r="D1" s="146"/>
      <c r="E1" s="146"/>
      <c r="F1" s="146"/>
      <c r="H1" s="146"/>
      <c r="U1" s="576"/>
      <c r="Z1" s="595"/>
      <c r="AE1" s="576"/>
      <c r="AJ1" s="576"/>
      <c r="AK1" s="597"/>
    </row>
    <row r="2" spans="1:37" s="578" customFormat="1" ht="2.85" customHeight="1" x14ac:dyDescent="0.2">
      <c r="B2" s="581">
        <f>COLUMNS($B$2:B2)</f>
        <v>1</v>
      </c>
      <c r="C2" s="581">
        <f>COLUMNS($B$2:C2)</f>
        <v>2</v>
      </c>
      <c r="D2" s="581">
        <f>COLUMNS($B$2:D2)</f>
        <v>3</v>
      </c>
      <c r="E2" s="581">
        <f>COLUMNS($B$2:E2)</f>
        <v>4</v>
      </c>
      <c r="F2" s="581">
        <f>COLUMNS($B$2:F2)</f>
        <v>5</v>
      </c>
      <c r="G2" s="581">
        <f>COLUMNS($B$2:G2)</f>
        <v>6</v>
      </c>
      <c r="H2" s="581">
        <f>COLUMNS($B$2:H2)</f>
        <v>7</v>
      </c>
      <c r="I2" s="1096" t="s">
        <v>4091</v>
      </c>
    </row>
    <row r="3" spans="1:37" ht="13.7" customHeight="1" x14ac:dyDescent="0.2">
      <c r="B3" s="660"/>
      <c r="C3" s="660"/>
      <c r="D3" s="659"/>
      <c r="E3" s="659"/>
      <c r="F3" s="659"/>
      <c r="G3" s="659"/>
      <c r="H3" s="659"/>
    </row>
    <row r="4" spans="1:37" ht="13.7" customHeight="1" x14ac:dyDescent="0.2">
      <c r="A4" s="17"/>
      <c r="B4" s="575" t="s">
        <v>4368</v>
      </c>
      <c r="C4" s="595"/>
      <c r="D4" s="577" t="s">
        <v>4603</v>
      </c>
      <c r="I4" s="28"/>
    </row>
    <row r="5" spans="1:37" ht="14.25" x14ac:dyDescent="0.2">
      <c r="A5" s="17"/>
      <c r="B5" s="481" t="s">
        <v>4369</v>
      </c>
      <c r="C5" s="595"/>
      <c r="D5" s="577" t="s">
        <v>4591</v>
      </c>
      <c r="I5" s="28"/>
    </row>
    <row r="6" spans="1:37" ht="14.25" x14ac:dyDescent="0.2">
      <c r="A6" s="17"/>
      <c r="B6" s="595"/>
      <c r="C6" s="595"/>
      <c r="D6" s="577" t="s">
        <v>4592</v>
      </c>
      <c r="I6" s="28"/>
    </row>
    <row r="7" spans="1:37" ht="0.75" customHeight="1" x14ac:dyDescent="0.2">
      <c r="A7" s="17"/>
      <c r="B7" s="595"/>
      <c r="C7" s="595"/>
      <c r="I7" s="28"/>
    </row>
    <row r="8" spans="1:37" ht="0.75" customHeight="1" x14ac:dyDescent="0.2">
      <c r="A8" s="17"/>
      <c r="B8" s="595"/>
      <c r="C8" s="595"/>
      <c r="I8" s="28"/>
    </row>
    <row r="9" spans="1:37" ht="0.75" customHeight="1" x14ac:dyDescent="0.2">
      <c r="A9" s="17"/>
      <c r="B9" s="595"/>
      <c r="C9" s="595"/>
      <c r="I9" s="28"/>
    </row>
    <row r="10" spans="1:37" s="657" customFormat="1" ht="2.85" customHeight="1" x14ac:dyDescent="0.2">
      <c r="A10" s="816"/>
      <c r="C10" s="1091" t="s">
        <v>3772</v>
      </c>
      <c r="D10" s="680">
        <v>100</v>
      </c>
      <c r="E10" s="680">
        <v>200</v>
      </c>
      <c r="F10" s="680">
        <v>300</v>
      </c>
      <c r="G10" s="680">
        <v>400</v>
      </c>
      <c r="H10" s="680">
        <v>500</v>
      </c>
      <c r="I10" s="819"/>
      <c r="K10" s="817" t="s">
        <v>3754</v>
      </c>
    </row>
    <row r="11" spans="1:37" s="574" customFormat="1" ht="13.7" customHeight="1" x14ac:dyDescent="0.2">
      <c r="A11" s="947"/>
      <c r="B11" s="599"/>
      <c r="C11" s="1117" t="s">
        <v>20</v>
      </c>
      <c r="D11" s="950" t="s">
        <v>3365</v>
      </c>
      <c r="E11" s="950" t="s">
        <v>3366</v>
      </c>
      <c r="F11" s="950" t="s">
        <v>3367</v>
      </c>
      <c r="G11" s="950" t="s">
        <v>3368</v>
      </c>
      <c r="H11" s="950" t="s">
        <v>3369</v>
      </c>
      <c r="I11" s="951"/>
    </row>
    <row r="12" spans="1:37" s="574" customFormat="1" ht="13.7" customHeight="1" x14ac:dyDescent="0.2">
      <c r="A12" s="947"/>
      <c r="B12" s="599"/>
      <c r="C12" s="599" t="s">
        <v>13</v>
      </c>
      <c r="D12" s="1095" t="s">
        <v>30</v>
      </c>
      <c r="E12" s="1095" t="s">
        <v>30</v>
      </c>
      <c r="F12" s="1095" t="s">
        <v>30</v>
      </c>
      <c r="G12" s="1095" t="s">
        <v>30</v>
      </c>
      <c r="H12" s="1095" t="s">
        <v>30</v>
      </c>
      <c r="I12" s="951"/>
    </row>
    <row r="13" spans="1:37" ht="13.7" customHeight="1" x14ac:dyDescent="0.2">
      <c r="A13" s="17"/>
      <c r="B13" s="1093">
        <v>1</v>
      </c>
      <c r="C13" s="595" t="s">
        <v>3494</v>
      </c>
      <c r="H13" s="842"/>
      <c r="I13" s="28"/>
    </row>
    <row r="14" spans="1:37" ht="13.7" customHeight="1" x14ac:dyDescent="0.2">
      <c r="A14" s="17"/>
      <c r="B14" s="1093">
        <f>B13+1</f>
        <v>2</v>
      </c>
      <c r="C14" s="146" t="s">
        <v>3371</v>
      </c>
      <c r="D14" s="576">
        <v>0</v>
      </c>
      <c r="E14" s="576">
        <v>10</v>
      </c>
      <c r="F14" s="576">
        <v>20</v>
      </c>
      <c r="G14" s="576">
        <v>20</v>
      </c>
      <c r="H14" s="842">
        <v>40</v>
      </c>
      <c r="I14" s="28"/>
    </row>
    <row r="15" spans="1:37" ht="13.7" customHeight="1" x14ac:dyDescent="0.2">
      <c r="A15" s="17"/>
      <c r="B15" s="1093">
        <f t="shared" ref="B15:B77" si="0">B14+1</f>
        <v>3</v>
      </c>
      <c r="C15" s="146" t="s">
        <v>3372</v>
      </c>
      <c r="D15" s="576">
        <v>0</v>
      </c>
      <c r="E15" s="576">
        <v>10</v>
      </c>
      <c r="F15" s="576">
        <v>20</v>
      </c>
      <c r="G15" s="576">
        <v>20</v>
      </c>
      <c r="H15" s="842">
        <v>40</v>
      </c>
      <c r="I15" s="28"/>
    </row>
    <row r="16" spans="1:37" ht="13.7" customHeight="1" x14ac:dyDescent="0.2">
      <c r="A16" s="17"/>
      <c r="B16" s="1093">
        <f t="shared" si="0"/>
        <v>4</v>
      </c>
      <c r="C16" s="146" t="s">
        <v>3373</v>
      </c>
      <c r="D16" s="576">
        <v>0</v>
      </c>
      <c r="E16" s="576">
        <v>10</v>
      </c>
      <c r="F16" s="576">
        <v>20</v>
      </c>
      <c r="G16" s="576">
        <v>20</v>
      </c>
      <c r="H16" s="842">
        <v>40</v>
      </c>
      <c r="I16" s="28"/>
    </row>
    <row r="17" spans="1:9" ht="13.7" customHeight="1" x14ac:dyDescent="0.2">
      <c r="A17" s="17"/>
      <c r="B17" s="1093">
        <f t="shared" si="0"/>
        <v>5</v>
      </c>
      <c r="C17" s="146" t="s">
        <v>3374</v>
      </c>
      <c r="D17" s="576">
        <v>0</v>
      </c>
      <c r="E17" s="576">
        <v>0</v>
      </c>
      <c r="F17" s="576">
        <v>10</v>
      </c>
      <c r="G17" s="576">
        <v>10</v>
      </c>
      <c r="H17" s="842">
        <v>30</v>
      </c>
      <c r="I17" s="28"/>
    </row>
    <row r="18" spans="1:9" ht="13.7" customHeight="1" x14ac:dyDescent="0.2">
      <c r="A18" s="17"/>
      <c r="B18" s="1093">
        <f t="shared" si="0"/>
        <v>6</v>
      </c>
      <c r="C18" s="146" t="s">
        <v>3375</v>
      </c>
      <c r="D18" s="576">
        <v>0</v>
      </c>
      <c r="E18" s="576">
        <v>0</v>
      </c>
      <c r="F18" s="576">
        <v>10</v>
      </c>
      <c r="G18" s="576">
        <v>10</v>
      </c>
      <c r="H18" s="842">
        <v>30</v>
      </c>
      <c r="I18" s="28"/>
    </row>
    <row r="19" spans="1:9" ht="13.7" customHeight="1" x14ac:dyDescent="0.2">
      <c r="A19" s="17"/>
      <c r="B19" s="1093">
        <f t="shared" si="0"/>
        <v>7</v>
      </c>
      <c r="C19" s="146" t="s">
        <v>3376</v>
      </c>
      <c r="D19" s="576">
        <v>0</v>
      </c>
      <c r="E19" s="576">
        <v>0</v>
      </c>
      <c r="F19" s="576">
        <v>10</v>
      </c>
      <c r="G19" s="576">
        <v>10</v>
      </c>
      <c r="H19" s="842">
        <v>30</v>
      </c>
      <c r="I19" s="28"/>
    </row>
    <row r="20" spans="1:9" ht="13.7" customHeight="1" x14ac:dyDescent="0.2">
      <c r="A20" s="17"/>
      <c r="B20" s="1093">
        <f t="shared" si="0"/>
        <v>8</v>
      </c>
      <c r="C20" s="146" t="s">
        <v>3377</v>
      </c>
      <c r="D20" s="576">
        <v>10</v>
      </c>
      <c r="E20" s="576">
        <v>20</v>
      </c>
      <c r="F20" s="576">
        <v>30</v>
      </c>
      <c r="G20" s="576">
        <v>30</v>
      </c>
      <c r="H20" s="842">
        <v>50</v>
      </c>
      <c r="I20" s="28"/>
    </row>
    <row r="21" spans="1:9" ht="13.7" customHeight="1" x14ac:dyDescent="0.2">
      <c r="A21" s="17"/>
      <c r="B21" s="1093">
        <f t="shared" si="0"/>
        <v>9</v>
      </c>
      <c r="C21" s="146" t="s">
        <v>3378</v>
      </c>
      <c r="D21" s="576">
        <v>10</v>
      </c>
      <c r="E21" s="576">
        <v>20</v>
      </c>
      <c r="F21" s="576">
        <v>30</v>
      </c>
      <c r="G21" s="576">
        <v>30</v>
      </c>
      <c r="H21" s="842">
        <v>50</v>
      </c>
      <c r="I21" s="28"/>
    </row>
    <row r="22" spans="1:9" ht="13.7" customHeight="1" x14ac:dyDescent="0.2">
      <c r="A22" s="17"/>
      <c r="B22" s="1093">
        <f t="shared" si="0"/>
        <v>10</v>
      </c>
      <c r="C22" s="146" t="s">
        <v>3379</v>
      </c>
      <c r="D22" s="576">
        <v>0</v>
      </c>
      <c r="E22" s="576">
        <v>10</v>
      </c>
      <c r="F22" s="576">
        <v>20</v>
      </c>
      <c r="G22" s="576">
        <v>20</v>
      </c>
      <c r="H22" s="842">
        <v>40</v>
      </c>
      <c r="I22" s="28"/>
    </row>
    <row r="23" spans="1:9" ht="13.7" customHeight="1" x14ac:dyDescent="0.2">
      <c r="A23" s="17"/>
      <c r="B23" s="1093">
        <f t="shared" si="0"/>
        <v>11</v>
      </c>
      <c r="C23" s="146" t="s">
        <v>3380</v>
      </c>
      <c r="D23" s="576">
        <v>0</v>
      </c>
      <c r="E23" s="576">
        <v>10</v>
      </c>
      <c r="F23" s="576">
        <v>20</v>
      </c>
      <c r="G23" s="576">
        <v>20</v>
      </c>
      <c r="H23" s="842">
        <v>40</v>
      </c>
      <c r="I23" s="28"/>
    </row>
    <row r="24" spans="1:9" ht="13.7" customHeight="1" x14ac:dyDescent="0.2">
      <c r="A24" s="17"/>
      <c r="B24" s="1093">
        <f t="shared" si="0"/>
        <v>12</v>
      </c>
      <c r="C24" s="146" t="s">
        <v>3381</v>
      </c>
      <c r="D24" s="576">
        <v>0</v>
      </c>
      <c r="E24" s="576">
        <v>10</v>
      </c>
      <c r="F24" s="576">
        <v>20</v>
      </c>
      <c r="G24" s="576">
        <v>20</v>
      </c>
      <c r="H24" s="842">
        <v>40</v>
      </c>
      <c r="I24" s="28"/>
    </row>
    <row r="25" spans="1:9" ht="13.7" customHeight="1" x14ac:dyDescent="0.2">
      <c r="A25" s="17"/>
      <c r="B25" s="1093">
        <f t="shared" si="0"/>
        <v>13</v>
      </c>
      <c r="C25" s="146" t="s">
        <v>3382</v>
      </c>
      <c r="D25" s="576">
        <v>0</v>
      </c>
      <c r="E25" s="576">
        <v>0</v>
      </c>
      <c r="F25" s="576">
        <v>10</v>
      </c>
      <c r="G25" s="576">
        <v>10</v>
      </c>
      <c r="H25" s="842">
        <v>30</v>
      </c>
      <c r="I25" s="28"/>
    </row>
    <row r="26" spans="1:9" ht="13.7" customHeight="1" x14ac:dyDescent="0.2">
      <c r="A26" s="17"/>
      <c r="B26" s="1093">
        <f t="shared" si="0"/>
        <v>14</v>
      </c>
      <c r="C26" s="146" t="s">
        <v>3383</v>
      </c>
      <c r="D26" s="576">
        <v>0</v>
      </c>
      <c r="E26" s="576">
        <v>10</v>
      </c>
      <c r="F26" s="576">
        <v>20</v>
      </c>
      <c r="G26" s="576">
        <v>20</v>
      </c>
      <c r="H26" s="842">
        <v>40</v>
      </c>
      <c r="I26" s="28"/>
    </row>
    <row r="27" spans="1:9" ht="13.7" customHeight="1" x14ac:dyDescent="0.2">
      <c r="A27" s="17"/>
      <c r="B27" s="1093">
        <f t="shared" si="0"/>
        <v>15</v>
      </c>
      <c r="C27" s="146" t="s">
        <v>3596</v>
      </c>
      <c r="D27" s="576">
        <v>0</v>
      </c>
      <c r="E27" s="576">
        <v>10</v>
      </c>
      <c r="F27" s="576">
        <v>20</v>
      </c>
      <c r="G27" s="576">
        <v>20</v>
      </c>
      <c r="H27" s="842">
        <v>40</v>
      </c>
      <c r="I27" s="28"/>
    </row>
    <row r="28" spans="1:9" ht="13.7" customHeight="1" x14ac:dyDescent="0.2">
      <c r="A28" s="17"/>
      <c r="B28" s="1093">
        <f t="shared" si="0"/>
        <v>16</v>
      </c>
      <c r="C28" s="146" t="s">
        <v>3384</v>
      </c>
      <c r="D28" s="576">
        <v>0</v>
      </c>
      <c r="E28" s="576">
        <v>10</v>
      </c>
      <c r="F28" s="576">
        <v>20</v>
      </c>
      <c r="G28" s="576">
        <v>20</v>
      </c>
      <c r="H28" s="842">
        <v>40</v>
      </c>
      <c r="I28" s="28"/>
    </row>
    <row r="29" spans="1:9" ht="13.7" customHeight="1" x14ac:dyDescent="0.2">
      <c r="A29" s="17"/>
      <c r="B29" s="1093">
        <f t="shared" si="0"/>
        <v>17</v>
      </c>
      <c r="C29" s="146" t="s">
        <v>3385</v>
      </c>
      <c r="D29" s="576">
        <v>0</v>
      </c>
      <c r="E29" s="576">
        <v>0</v>
      </c>
      <c r="F29" s="576">
        <v>10</v>
      </c>
      <c r="G29" s="576">
        <v>10</v>
      </c>
      <c r="H29" s="842">
        <v>30</v>
      </c>
      <c r="I29" s="28"/>
    </row>
    <row r="30" spans="1:9" ht="13.7" customHeight="1" x14ac:dyDescent="0.2">
      <c r="A30" s="17"/>
      <c r="B30" s="1093">
        <f t="shared" si="0"/>
        <v>18</v>
      </c>
      <c r="C30" s="146" t="s">
        <v>3386</v>
      </c>
      <c r="D30" s="576">
        <v>0</v>
      </c>
      <c r="E30" s="576">
        <v>10</v>
      </c>
      <c r="F30" s="576">
        <v>20</v>
      </c>
      <c r="G30" s="576">
        <v>20</v>
      </c>
      <c r="H30" s="842">
        <v>40</v>
      </c>
      <c r="I30" s="28"/>
    </row>
    <row r="31" spans="1:9" ht="13.7" customHeight="1" x14ac:dyDescent="0.2">
      <c r="A31" s="17"/>
      <c r="B31" s="1093">
        <f t="shared" si="0"/>
        <v>19</v>
      </c>
      <c r="C31" s="146" t="s">
        <v>4781</v>
      </c>
      <c r="D31" s="1704">
        <v>40</v>
      </c>
      <c r="E31" s="1704">
        <v>50</v>
      </c>
      <c r="F31" s="1704">
        <v>60</v>
      </c>
      <c r="G31" s="1704">
        <v>60</v>
      </c>
      <c r="H31" s="1705">
        <v>80</v>
      </c>
      <c r="I31" s="28"/>
    </row>
    <row r="32" spans="1:9" ht="13.7" customHeight="1" x14ac:dyDescent="0.2">
      <c r="A32" s="17"/>
      <c r="B32" s="1093">
        <f t="shared" si="0"/>
        <v>20</v>
      </c>
      <c r="C32" s="146" t="s">
        <v>3387</v>
      </c>
      <c r="D32" s="576">
        <v>30</v>
      </c>
      <c r="E32" s="576">
        <v>40</v>
      </c>
      <c r="F32" s="576">
        <v>50</v>
      </c>
      <c r="G32" s="576">
        <v>50</v>
      </c>
      <c r="H32" s="842">
        <v>70</v>
      </c>
      <c r="I32" s="28"/>
    </row>
    <row r="33" spans="1:9" ht="13.7" customHeight="1" x14ac:dyDescent="0.2">
      <c r="A33" s="17"/>
      <c r="B33" s="1093">
        <f t="shared" si="0"/>
        <v>21</v>
      </c>
      <c r="C33" s="146" t="s">
        <v>3388</v>
      </c>
      <c r="D33" s="576">
        <v>0</v>
      </c>
      <c r="E33" s="576">
        <v>10</v>
      </c>
      <c r="F33" s="576">
        <v>20</v>
      </c>
      <c r="G33" s="576">
        <v>20</v>
      </c>
      <c r="H33" s="842">
        <v>40</v>
      </c>
      <c r="I33" s="28"/>
    </row>
    <row r="34" spans="1:9" ht="13.7" customHeight="1" x14ac:dyDescent="0.2">
      <c r="A34" s="17"/>
      <c r="B34" s="1093">
        <f t="shared" si="0"/>
        <v>22</v>
      </c>
      <c r="C34" s="146" t="s">
        <v>3389</v>
      </c>
      <c r="D34" s="576">
        <v>20</v>
      </c>
      <c r="E34" s="576">
        <v>30</v>
      </c>
      <c r="F34" s="576">
        <v>40</v>
      </c>
      <c r="G34" s="576">
        <v>40</v>
      </c>
      <c r="H34" s="842">
        <v>60</v>
      </c>
      <c r="I34" s="28"/>
    </row>
    <row r="35" spans="1:9" ht="13.7" customHeight="1" x14ac:dyDescent="0.2">
      <c r="A35" s="17"/>
      <c r="B35" s="1093">
        <f t="shared" si="0"/>
        <v>23</v>
      </c>
      <c r="C35" s="146" t="s">
        <v>3390</v>
      </c>
      <c r="D35" s="576">
        <v>40</v>
      </c>
      <c r="E35" s="576">
        <v>50</v>
      </c>
      <c r="F35" s="576">
        <v>60</v>
      </c>
      <c r="G35" s="576">
        <v>60</v>
      </c>
      <c r="H35" s="842">
        <v>80</v>
      </c>
      <c r="I35" s="28"/>
    </row>
    <row r="36" spans="1:9" ht="13.7" customHeight="1" x14ac:dyDescent="0.2">
      <c r="A36" s="17"/>
      <c r="B36" s="1093">
        <f t="shared" si="0"/>
        <v>24</v>
      </c>
      <c r="C36" s="146" t="s">
        <v>3391</v>
      </c>
      <c r="D36" s="576">
        <v>40</v>
      </c>
      <c r="E36" s="576">
        <v>50</v>
      </c>
      <c r="F36" s="576">
        <v>60</v>
      </c>
      <c r="G36" s="576">
        <v>60</v>
      </c>
      <c r="H36" s="842">
        <v>80</v>
      </c>
      <c r="I36" s="28"/>
    </row>
    <row r="37" spans="1:9" ht="13.7" customHeight="1" x14ac:dyDescent="0.2">
      <c r="A37" s="17"/>
      <c r="B37" s="1093">
        <f t="shared" si="0"/>
        <v>25</v>
      </c>
      <c r="C37" s="146" t="s">
        <v>3392</v>
      </c>
      <c r="D37" s="576">
        <v>10</v>
      </c>
      <c r="E37" s="576">
        <v>20</v>
      </c>
      <c r="F37" s="576">
        <v>30</v>
      </c>
      <c r="G37" s="576">
        <v>30</v>
      </c>
      <c r="H37" s="842">
        <v>40</v>
      </c>
      <c r="I37" s="28"/>
    </row>
    <row r="38" spans="1:9" ht="13.7" customHeight="1" x14ac:dyDescent="0.2">
      <c r="A38" s="17"/>
      <c r="B38" s="1093">
        <f t="shared" si="0"/>
        <v>26</v>
      </c>
      <c r="C38" s="146" t="s">
        <v>3393</v>
      </c>
      <c r="D38" s="576">
        <v>0</v>
      </c>
      <c r="E38" s="576">
        <v>10</v>
      </c>
      <c r="F38" s="576">
        <v>20</v>
      </c>
      <c r="G38" s="576">
        <v>20</v>
      </c>
      <c r="H38" s="842">
        <v>40</v>
      </c>
      <c r="I38" s="28"/>
    </row>
    <row r="39" spans="1:9" ht="13.7" customHeight="1" x14ac:dyDescent="0.2">
      <c r="A39" s="17"/>
      <c r="B39" s="1093">
        <f t="shared" si="0"/>
        <v>27</v>
      </c>
      <c r="C39" s="146" t="s">
        <v>3394</v>
      </c>
      <c r="D39" s="576">
        <v>0</v>
      </c>
      <c r="E39" s="576">
        <v>10</v>
      </c>
      <c r="F39" s="576">
        <v>20</v>
      </c>
      <c r="G39" s="576">
        <v>20</v>
      </c>
      <c r="H39" s="842">
        <v>40</v>
      </c>
      <c r="I39" s="28"/>
    </row>
    <row r="40" spans="1:9" ht="13.7" customHeight="1" x14ac:dyDescent="0.2">
      <c r="A40" s="17"/>
      <c r="B40" s="1093">
        <f t="shared" si="0"/>
        <v>28</v>
      </c>
      <c r="C40" s="146" t="s">
        <v>3395</v>
      </c>
      <c r="D40" s="576">
        <v>200</v>
      </c>
      <c r="E40" s="576">
        <v>200</v>
      </c>
      <c r="F40" s="576">
        <v>200</v>
      </c>
      <c r="G40" s="576">
        <v>220</v>
      </c>
      <c r="H40" s="842">
        <v>240</v>
      </c>
      <c r="I40" s="28"/>
    </row>
    <row r="41" spans="1:9" ht="13.7" customHeight="1" x14ac:dyDescent="0.2">
      <c r="A41" s="17"/>
      <c r="B41" s="1093">
        <f t="shared" si="0"/>
        <v>29</v>
      </c>
      <c r="C41" s="146" t="s">
        <v>3396</v>
      </c>
      <c r="D41" s="576">
        <v>120</v>
      </c>
      <c r="E41" s="576">
        <v>120</v>
      </c>
      <c r="F41" s="576">
        <v>120</v>
      </c>
      <c r="G41" s="576">
        <v>140</v>
      </c>
      <c r="H41" s="842">
        <v>160</v>
      </c>
      <c r="I41" s="28"/>
    </row>
    <row r="42" spans="1:9" ht="13.7" customHeight="1" x14ac:dyDescent="0.2">
      <c r="A42" s="17"/>
      <c r="B42" s="1093">
        <f t="shared" si="0"/>
        <v>30</v>
      </c>
      <c r="C42" s="146" t="s">
        <v>3397</v>
      </c>
      <c r="D42" s="576">
        <v>175</v>
      </c>
      <c r="E42" s="576">
        <v>175</v>
      </c>
      <c r="F42" s="576">
        <v>175</v>
      </c>
      <c r="G42" s="576">
        <v>195</v>
      </c>
      <c r="H42" s="842">
        <v>215</v>
      </c>
      <c r="I42" s="28"/>
    </row>
    <row r="43" spans="1:9" ht="13.7" customHeight="1" x14ac:dyDescent="0.2">
      <c r="A43" s="17"/>
      <c r="B43" s="1093">
        <f t="shared" si="0"/>
        <v>31</v>
      </c>
      <c r="C43" s="146" t="s">
        <v>3398</v>
      </c>
      <c r="H43" s="842"/>
      <c r="I43" s="28"/>
    </row>
    <row r="44" spans="1:9" ht="13.7" customHeight="1" x14ac:dyDescent="0.2">
      <c r="A44" s="17"/>
      <c r="B44" s="1093">
        <f t="shared" si="0"/>
        <v>32</v>
      </c>
      <c r="C44" s="146" t="s">
        <v>3399</v>
      </c>
      <c r="H44" s="842"/>
      <c r="I44" s="28"/>
    </row>
    <row r="45" spans="1:9" ht="13.7" customHeight="1" x14ac:dyDescent="0.2">
      <c r="A45" s="17"/>
      <c r="B45" s="1093">
        <f t="shared" si="0"/>
        <v>33</v>
      </c>
      <c r="C45" s="146" t="s">
        <v>3400</v>
      </c>
      <c r="H45" s="842"/>
      <c r="I45" s="28"/>
    </row>
    <row r="46" spans="1:9" ht="13.7" customHeight="1" x14ac:dyDescent="0.2">
      <c r="A46" s="17"/>
      <c r="B46" s="1093">
        <f t="shared" si="0"/>
        <v>34</v>
      </c>
      <c r="C46" s="146" t="s">
        <v>3401</v>
      </c>
      <c r="H46" s="842"/>
      <c r="I46" s="28"/>
    </row>
    <row r="47" spans="1:9" ht="13.7" customHeight="1" x14ac:dyDescent="0.2">
      <c r="A47" s="17"/>
      <c r="B47" s="1093">
        <f t="shared" si="0"/>
        <v>35</v>
      </c>
      <c r="C47" s="146" t="s">
        <v>3597</v>
      </c>
      <c r="H47" s="842"/>
      <c r="I47" s="28"/>
    </row>
    <row r="48" spans="1:9" ht="13.7" customHeight="1" x14ac:dyDescent="0.2">
      <c r="A48" s="17"/>
      <c r="B48" s="1093">
        <f t="shared" si="0"/>
        <v>36</v>
      </c>
      <c r="C48" s="146" t="s">
        <v>3598</v>
      </c>
      <c r="H48" s="842"/>
      <c r="I48" s="28"/>
    </row>
    <row r="49" spans="1:9" ht="13.7" customHeight="1" x14ac:dyDescent="0.2">
      <c r="A49" s="17"/>
      <c r="B49" s="1093">
        <f t="shared" si="0"/>
        <v>37</v>
      </c>
      <c r="C49" s="146" t="s">
        <v>3599</v>
      </c>
      <c r="H49" s="842"/>
      <c r="I49" s="28"/>
    </row>
    <row r="50" spans="1:9" ht="13.7" customHeight="1" x14ac:dyDescent="0.2">
      <c r="A50" s="17"/>
      <c r="B50" s="1093">
        <f t="shared" si="0"/>
        <v>38</v>
      </c>
      <c r="C50" s="146" t="s">
        <v>3600</v>
      </c>
      <c r="H50" s="842"/>
      <c r="I50" s="28"/>
    </row>
    <row r="51" spans="1:9" ht="13.7" customHeight="1" x14ac:dyDescent="0.2">
      <c r="A51" s="17"/>
      <c r="B51" s="1093">
        <f t="shared" si="0"/>
        <v>39</v>
      </c>
      <c r="C51" s="146" t="s">
        <v>3601</v>
      </c>
      <c r="H51" s="842"/>
      <c r="I51" s="28"/>
    </row>
    <row r="52" spans="1:9" ht="13.7" customHeight="1" x14ac:dyDescent="0.2">
      <c r="A52" s="17"/>
      <c r="B52" s="1093">
        <v>40</v>
      </c>
      <c r="C52" s="146" t="s">
        <v>4772</v>
      </c>
      <c r="H52" s="842"/>
      <c r="I52" s="28"/>
    </row>
    <row r="53" spans="1:9" ht="13.7" customHeight="1" x14ac:dyDescent="0.2">
      <c r="A53" s="17"/>
      <c r="B53" s="1093">
        <v>41</v>
      </c>
      <c r="C53" s="146" t="s">
        <v>4773</v>
      </c>
      <c r="H53" s="842"/>
      <c r="I53" s="28"/>
    </row>
    <row r="54" spans="1:9" ht="13.7" customHeight="1" x14ac:dyDescent="0.2">
      <c r="A54" s="17"/>
      <c r="B54" s="1093">
        <v>42</v>
      </c>
      <c r="C54" s="146" t="s">
        <v>4774</v>
      </c>
      <c r="H54" s="842"/>
      <c r="I54" s="28"/>
    </row>
    <row r="55" spans="1:9" ht="13.7" customHeight="1" x14ac:dyDescent="0.2">
      <c r="A55" s="17"/>
      <c r="B55" s="1093">
        <v>43</v>
      </c>
      <c r="C55" s="146" t="s">
        <v>4775</v>
      </c>
      <c r="H55" s="842"/>
      <c r="I55" s="28"/>
    </row>
    <row r="56" spans="1:9" ht="13.7" customHeight="1" x14ac:dyDescent="0.2">
      <c r="A56" s="17"/>
      <c r="B56" s="1093">
        <f t="shared" si="0"/>
        <v>44</v>
      </c>
      <c r="C56" s="146" t="s">
        <v>3402</v>
      </c>
      <c r="D56" s="576">
        <v>15</v>
      </c>
      <c r="E56" s="576">
        <v>20</v>
      </c>
      <c r="F56" s="576">
        <v>25</v>
      </c>
      <c r="G56" s="576">
        <v>25</v>
      </c>
      <c r="H56" s="842">
        <v>35</v>
      </c>
      <c r="I56" s="28"/>
    </row>
    <row r="57" spans="1:9" ht="13.7" customHeight="1" x14ac:dyDescent="0.2">
      <c r="A57" s="17"/>
      <c r="B57" s="1093">
        <f t="shared" si="0"/>
        <v>45</v>
      </c>
      <c r="C57" s="146" t="s">
        <v>3403</v>
      </c>
      <c r="D57" s="576">
        <v>30</v>
      </c>
      <c r="E57" s="576">
        <v>40</v>
      </c>
      <c r="F57" s="576">
        <v>50</v>
      </c>
      <c r="G57" s="576">
        <v>50</v>
      </c>
      <c r="H57" s="842">
        <v>70</v>
      </c>
      <c r="I57" s="28"/>
    </row>
    <row r="58" spans="1:9" ht="13.7" customHeight="1" x14ac:dyDescent="0.2">
      <c r="A58" s="17"/>
      <c r="B58" s="1093">
        <f t="shared" si="0"/>
        <v>46</v>
      </c>
      <c r="C58" s="146" t="s">
        <v>3404</v>
      </c>
      <c r="D58" s="576">
        <v>60</v>
      </c>
      <c r="E58" s="576">
        <v>80</v>
      </c>
      <c r="F58" s="576">
        <v>100</v>
      </c>
      <c r="G58" s="576">
        <v>100</v>
      </c>
      <c r="H58" s="842">
        <v>120</v>
      </c>
      <c r="I58" s="28"/>
    </row>
    <row r="59" spans="1:9" ht="13.7" customHeight="1" x14ac:dyDescent="0.2">
      <c r="A59" s="17"/>
      <c r="B59" s="1093">
        <f t="shared" si="0"/>
        <v>47</v>
      </c>
      <c r="C59" s="146" t="s">
        <v>3405</v>
      </c>
      <c r="D59" s="576">
        <v>60</v>
      </c>
      <c r="E59" s="576">
        <v>80</v>
      </c>
      <c r="F59" s="576">
        <v>100</v>
      </c>
      <c r="G59" s="576">
        <v>100</v>
      </c>
      <c r="H59" s="842">
        <v>120</v>
      </c>
      <c r="I59" s="28"/>
    </row>
    <row r="60" spans="1:9" ht="13.7" customHeight="1" x14ac:dyDescent="0.2">
      <c r="A60" s="17"/>
      <c r="B60" s="1093">
        <f t="shared" si="0"/>
        <v>48</v>
      </c>
      <c r="C60" s="146" t="s">
        <v>3406</v>
      </c>
      <c r="D60" s="576">
        <v>100</v>
      </c>
      <c r="E60" s="576">
        <v>120</v>
      </c>
      <c r="F60" s="576">
        <v>140</v>
      </c>
      <c r="G60" s="576">
        <v>140</v>
      </c>
      <c r="H60" s="842">
        <v>160</v>
      </c>
      <c r="I60" s="28"/>
    </row>
    <row r="61" spans="1:9" ht="13.7" customHeight="1" x14ac:dyDescent="0.2">
      <c r="A61" s="17"/>
      <c r="B61" s="1093">
        <f t="shared" si="0"/>
        <v>49</v>
      </c>
      <c r="C61" s="146" t="s">
        <v>3603</v>
      </c>
      <c r="H61" s="842"/>
      <c r="I61" s="28"/>
    </row>
    <row r="62" spans="1:9" ht="13.7" customHeight="1" x14ac:dyDescent="0.2">
      <c r="A62" s="17"/>
      <c r="B62" s="1093">
        <f t="shared" si="0"/>
        <v>50</v>
      </c>
      <c r="C62" s="146" t="s">
        <v>4455</v>
      </c>
      <c r="D62" s="576">
        <v>30</v>
      </c>
      <c r="E62" s="576">
        <v>40</v>
      </c>
      <c r="F62" s="576">
        <v>50</v>
      </c>
      <c r="G62" s="576">
        <v>60</v>
      </c>
      <c r="H62" s="842">
        <v>80</v>
      </c>
      <c r="I62" s="28"/>
    </row>
    <row r="63" spans="1:9" ht="13.7" customHeight="1" x14ac:dyDescent="0.2">
      <c r="A63" s="17"/>
      <c r="B63" s="1093">
        <f t="shared" si="0"/>
        <v>51</v>
      </c>
      <c r="C63" s="146" t="s">
        <v>3407</v>
      </c>
      <c r="D63" s="576">
        <v>30</v>
      </c>
      <c r="E63" s="576">
        <v>40</v>
      </c>
      <c r="F63" s="576">
        <v>50</v>
      </c>
      <c r="G63" s="576">
        <v>60</v>
      </c>
      <c r="H63" s="842">
        <v>80</v>
      </c>
      <c r="I63" s="28"/>
    </row>
    <row r="64" spans="1:9" ht="13.7" customHeight="1" x14ac:dyDescent="0.2">
      <c r="A64" s="17"/>
      <c r="B64" s="1093">
        <f t="shared" si="0"/>
        <v>52</v>
      </c>
      <c r="C64" s="146" t="s">
        <v>3408</v>
      </c>
      <c r="D64" s="576">
        <v>30</v>
      </c>
      <c r="E64" s="576">
        <v>40</v>
      </c>
      <c r="F64" s="576">
        <v>50</v>
      </c>
      <c r="G64" s="576">
        <v>60</v>
      </c>
      <c r="H64" s="842">
        <v>80</v>
      </c>
      <c r="I64" s="28"/>
    </row>
    <row r="65" spans="1:9" ht="13.7" customHeight="1" x14ac:dyDescent="0.2">
      <c r="A65" s="17"/>
      <c r="B65" s="1093">
        <f t="shared" si="0"/>
        <v>53</v>
      </c>
      <c r="C65" s="146" t="s">
        <v>3409</v>
      </c>
      <c r="D65" s="576">
        <v>0</v>
      </c>
      <c r="E65" s="576">
        <v>10</v>
      </c>
      <c r="F65" s="576">
        <v>20</v>
      </c>
      <c r="G65" s="576">
        <v>20</v>
      </c>
      <c r="H65" s="842">
        <v>40</v>
      </c>
      <c r="I65" s="28"/>
    </row>
    <row r="66" spans="1:9" ht="13.7" customHeight="1" x14ac:dyDescent="0.2">
      <c r="A66" s="17"/>
      <c r="B66" s="1093">
        <f t="shared" si="0"/>
        <v>54</v>
      </c>
      <c r="C66" s="146" t="s">
        <v>3410</v>
      </c>
      <c r="D66" s="576">
        <v>0</v>
      </c>
      <c r="E66" s="576">
        <v>10</v>
      </c>
      <c r="F66" s="576">
        <v>20</v>
      </c>
      <c r="G66" s="576">
        <v>20</v>
      </c>
      <c r="H66" s="842">
        <v>40</v>
      </c>
      <c r="I66" s="28"/>
    </row>
    <row r="67" spans="1:9" ht="13.7" customHeight="1" x14ac:dyDescent="0.2">
      <c r="A67" s="17"/>
      <c r="B67" s="1093">
        <f t="shared" si="0"/>
        <v>55</v>
      </c>
      <c r="C67" s="146" t="s">
        <v>3411</v>
      </c>
      <c r="D67" s="576">
        <v>0</v>
      </c>
      <c r="E67" s="576">
        <v>10</v>
      </c>
      <c r="F67" s="576">
        <v>20</v>
      </c>
      <c r="G67" s="576">
        <v>20</v>
      </c>
      <c r="H67" s="842">
        <v>40</v>
      </c>
      <c r="I67" s="28"/>
    </row>
    <row r="68" spans="1:9" ht="13.7" customHeight="1" x14ac:dyDescent="0.2">
      <c r="A68" s="17"/>
      <c r="B68" s="1093">
        <f t="shared" si="0"/>
        <v>56</v>
      </c>
      <c r="C68" s="146" t="s">
        <v>3412</v>
      </c>
      <c r="D68" s="576">
        <v>0</v>
      </c>
      <c r="E68" s="576">
        <v>10</v>
      </c>
      <c r="F68" s="576">
        <v>20</v>
      </c>
      <c r="G68" s="576">
        <v>20</v>
      </c>
      <c r="H68" s="842">
        <v>40</v>
      </c>
      <c r="I68" s="28"/>
    </row>
    <row r="69" spans="1:9" ht="13.7" customHeight="1" x14ac:dyDescent="0.2">
      <c r="A69" s="17"/>
      <c r="B69" s="1093">
        <f t="shared" si="0"/>
        <v>57</v>
      </c>
      <c r="C69" s="146" t="s">
        <v>3413</v>
      </c>
      <c r="D69" s="576">
        <v>40</v>
      </c>
      <c r="E69" s="576">
        <v>50</v>
      </c>
      <c r="F69" s="576">
        <v>60</v>
      </c>
      <c r="G69" s="576">
        <v>60</v>
      </c>
      <c r="H69" s="842">
        <v>80</v>
      </c>
      <c r="I69" s="28"/>
    </row>
    <row r="70" spans="1:9" ht="13.7" customHeight="1" x14ac:dyDescent="0.2">
      <c r="A70" s="17"/>
      <c r="B70" s="1093">
        <f t="shared" si="0"/>
        <v>58</v>
      </c>
      <c r="C70" s="146" t="s">
        <v>3414</v>
      </c>
      <c r="D70" s="576">
        <v>50</v>
      </c>
      <c r="E70" s="576">
        <v>60</v>
      </c>
      <c r="F70" s="576">
        <v>70</v>
      </c>
      <c r="G70" s="576">
        <v>75</v>
      </c>
      <c r="H70" s="842">
        <v>95</v>
      </c>
      <c r="I70" s="28"/>
    </row>
    <row r="71" spans="1:9" ht="13.7" customHeight="1" x14ac:dyDescent="0.2">
      <c r="A71" s="17"/>
      <c r="B71" s="1093">
        <f t="shared" si="0"/>
        <v>59</v>
      </c>
      <c r="C71" s="146" t="s">
        <v>3415</v>
      </c>
      <c r="D71" s="576">
        <v>20</v>
      </c>
      <c r="E71" s="576">
        <v>30</v>
      </c>
      <c r="F71" s="576">
        <v>40</v>
      </c>
      <c r="G71" s="576">
        <v>50</v>
      </c>
      <c r="H71" s="842">
        <v>60</v>
      </c>
      <c r="I71" s="28"/>
    </row>
    <row r="72" spans="1:9" ht="13.7" customHeight="1" x14ac:dyDescent="0.2">
      <c r="A72" s="17"/>
      <c r="B72" s="1093">
        <f t="shared" si="0"/>
        <v>60</v>
      </c>
      <c r="C72" s="146" t="s">
        <v>3416</v>
      </c>
      <c r="D72" s="576">
        <v>10</v>
      </c>
      <c r="E72" s="576">
        <v>20</v>
      </c>
      <c r="F72" s="576">
        <v>30</v>
      </c>
      <c r="G72" s="576">
        <v>30</v>
      </c>
      <c r="H72" s="842">
        <v>40</v>
      </c>
      <c r="I72" s="28"/>
    </row>
    <row r="73" spans="1:9" ht="13.7" customHeight="1" x14ac:dyDescent="0.2">
      <c r="A73" s="17"/>
      <c r="B73" s="1093">
        <f t="shared" si="0"/>
        <v>61</v>
      </c>
      <c r="C73" s="146" t="s">
        <v>3417</v>
      </c>
      <c r="D73" s="576">
        <v>0</v>
      </c>
      <c r="E73" s="576">
        <v>10</v>
      </c>
      <c r="F73" s="576">
        <v>20</v>
      </c>
      <c r="G73" s="576">
        <v>20</v>
      </c>
      <c r="H73" s="842">
        <v>40</v>
      </c>
      <c r="I73" s="28"/>
    </row>
    <row r="74" spans="1:9" ht="13.7" customHeight="1" x14ac:dyDescent="0.2">
      <c r="A74" s="17"/>
      <c r="B74" s="1093">
        <f t="shared" si="0"/>
        <v>62</v>
      </c>
      <c r="C74" s="146" t="s">
        <v>3418</v>
      </c>
      <c r="D74" s="576">
        <v>40</v>
      </c>
      <c r="E74" s="576">
        <v>50</v>
      </c>
      <c r="F74" s="576">
        <v>60</v>
      </c>
      <c r="G74" s="576">
        <v>60</v>
      </c>
      <c r="H74" s="842">
        <v>80</v>
      </c>
      <c r="I74" s="28"/>
    </row>
    <row r="75" spans="1:9" ht="13.7" customHeight="1" x14ac:dyDescent="0.2">
      <c r="A75" s="17"/>
      <c r="B75" s="1093">
        <f t="shared" si="0"/>
        <v>63</v>
      </c>
      <c r="C75" s="146" t="s">
        <v>3419</v>
      </c>
      <c r="D75" s="576">
        <v>40</v>
      </c>
      <c r="E75" s="576">
        <v>50</v>
      </c>
      <c r="F75" s="576">
        <v>60</v>
      </c>
      <c r="G75" s="576">
        <v>60</v>
      </c>
      <c r="H75" s="842">
        <v>80</v>
      </c>
      <c r="I75" s="28"/>
    </row>
    <row r="76" spans="1:9" ht="13.7" customHeight="1" x14ac:dyDescent="0.2">
      <c r="A76" s="17"/>
      <c r="B76" s="1093">
        <f t="shared" si="0"/>
        <v>64</v>
      </c>
      <c r="C76" s="146" t="s">
        <v>3420</v>
      </c>
      <c r="D76" s="576">
        <v>0</v>
      </c>
      <c r="E76" s="576">
        <v>10</v>
      </c>
      <c r="F76" s="576">
        <v>20</v>
      </c>
      <c r="G76" s="576">
        <v>20</v>
      </c>
      <c r="H76" s="842">
        <v>40</v>
      </c>
      <c r="I76" s="28"/>
    </row>
    <row r="77" spans="1:9" ht="13.7" customHeight="1" x14ac:dyDescent="0.2">
      <c r="A77" s="17"/>
      <c r="B77" s="1093">
        <f t="shared" si="0"/>
        <v>65</v>
      </c>
      <c r="C77" s="146" t="s">
        <v>3421</v>
      </c>
      <c r="D77" s="576">
        <v>30</v>
      </c>
      <c r="E77" s="576">
        <v>40</v>
      </c>
      <c r="F77" s="576">
        <v>50</v>
      </c>
      <c r="G77" s="576">
        <v>60</v>
      </c>
      <c r="H77" s="842">
        <v>70</v>
      </c>
      <c r="I77" s="28"/>
    </row>
    <row r="78" spans="1:9" ht="13.7" customHeight="1" x14ac:dyDescent="0.2">
      <c r="A78" s="17"/>
      <c r="B78" s="813"/>
      <c r="H78" s="842"/>
      <c r="I78" s="28"/>
    </row>
    <row r="79" spans="1:9" ht="13.7" customHeight="1" x14ac:dyDescent="0.2">
      <c r="A79" s="17"/>
      <c r="B79" s="822"/>
      <c r="C79" s="660"/>
      <c r="D79" s="659"/>
      <c r="E79" s="659"/>
      <c r="F79" s="659"/>
      <c r="G79" s="659"/>
      <c r="H79" s="844"/>
      <c r="I79" s="28"/>
    </row>
    <row r="80" spans="1:9" ht="13.7" customHeight="1" x14ac:dyDescent="0.2">
      <c r="A80" s="17"/>
      <c r="B80" s="809"/>
      <c r="C80" s="810"/>
      <c r="D80" s="807"/>
      <c r="E80" s="845">
        <f>COLUMNS($E$80:E80)</f>
        <v>1</v>
      </c>
      <c r="F80" s="845">
        <f>COLUMNS($E$80:F80)</f>
        <v>2</v>
      </c>
      <c r="G80" s="845">
        <f>COLUMNS($E$80:G80)</f>
        <v>3</v>
      </c>
      <c r="H80" s="846">
        <f>COLUMNS($E$80:H80)</f>
        <v>4</v>
      </c>
      <c r="I80" s="28"/>
    </row>
    <row r="81" spans="1:11" ht="13.7" customHeight="1" x14ac:dyDescent="0.2">
      <c r="A81" s="17"/>
      <c r="B81" s="841"/>
      <c r="E81" s="146"/>
      <c r="F81" s="595" t="s">
        <v>3681</v>
      </c>
      <c r="G81" s="849" t="s">
        <v>3778</v>
      </c>
      <c r="H81" s="842" t="s">
        <v>3728</v>
      </c>
      <c r="I81" s="28"/>
      <c r="K81" s="591"/>
    </row>
    <row r="82" spans="1:11" ht="13.7" customHeight="1" x14ac:dyDescent="0.2">
      <c r="A82" s="17"/>
      <c r="B82" s="841"/>
      <c r="E82" s="847"/>
      <c r="F82" s="848"/>
      <c r="G82" s="849"/>
      <c r="H82" s="842"/>
      <c r="I82" s="28"/>
    </row>
    <row r="83" spans="1:11" ht="13.7" customHeight="1" x14ac:dyDescent="0.2">
      <c r="A83" s="17"/>
      <c r="B83" s="841"/>
      <c r="E83" s="847">
        <f>E82+1</f>
        <v>1</v>
      </c>
      <c r="F83" s="850" t="s">
        <v>3365</v>
      </c>
      <c r="G83" s="849" t="s">
        <v>3775</v>
      </c>
      <c r="H83" s="842">
        <v>1</v>
      </c>
      <c r="I83" s="28"/>
    </row>
    <row r="84" spans="1:11" ht="13.7" customHeight="1" x14ac:dyDescent="0.2">
      <c r="A84" s="17"/>
      <c r="B84" s="841"/>
      <c r="E84" s="847">
        <f t="shared" ref="E84:E87" si="1">E83+1</f>
        <v>2</v>
      </c>
      <c r="F84" s="850" t="s">
        <v>3366</v>
      </c>
      <c r="G84" s="849" t="s">
        <v>3776</v>
      </c>
      <c r="H84" s="842">
        <v>2</v>
      </c>
      <c r="I84" s="28"/>
    </row>
    <row r="85" spans="1:11" ht="13.7" customHeight="1" x14ac:dyDescent="0.2">
      <c r="A85" s="17"/>
      <c r="B85" s="841"/>
      <c r="E85" s="851">
        <f t="shared" si="1"/>
        <v>3</v>
      </c>
      <c r="F85" s="850" t="s">
        <v>3367</v>
      </c>
      <c r="G85" s="849" t="s">
        <v>3777</v>
      </c>
      <c r="H85" s="842">
        <v>3</v>
      </c>
      <c r="I85" s="28"/>
    </row>
    <row r="86" spans="1:11" ht="13.7" customHeight="1" x14ac:dyDescent="0.2">
      <c r="A86" s="17"/>
      <c r="B86" s="841"/>
      <c r="E86" s="1065">
        <f t="shared" si="1"/>
        <v>4</v>
      </c>
      <c r="F86" s="1066" t="s">
        <v>3368</v>
      </c>
      <c r="G86" s="1067" t="s">
        <v>3368</v>
      </c>
      <c r="H86" s="1068">
        <v>4</v>
      </c>
      <c r="I86" s="28"/>
    </row>
    <row r="87" spans="1:11" ht="13.7" customHeight="1" x14ac:dyDescent="0.2">
      <c r="A87" s="17"/>
      <c r="B87" s="841"/>
      <c r="E87" s="1065">
        <f t="shared" si="1"/>
        <v>5</v>
      </c>
      <c r="F87" s="1066" t="s">
        <v>3369</v>
      </c>
      <c r="G87" s="1067" t="s">
        <v>3369</v>
      </c>
      <c r="H87" s="1068">
        <v>5</v>
      </c>
      <c r="I87" s="28"/>
    </row>
    <row r="88" spans="1:11" ht="13.7" customHeight="1" x14ac:dyDescent="0.2">
      <c r="A88" s="17"/>
      <c r="B88" s="841"/>
      <c r="E88" s="576" t="s">
        <v>4593</v>
      </c>
      <c r="H88" s="842"/>
      <c r="I88" s="28"/>
    </row>
    <row r="89" spans="1:11" ht="13.7" customHeight="1" x14ac:dyDescent="0.2">
      <c r="A89" s="17"/>
      <c r="B89" s="852"/>
      <c r="C89" s="836"/>
      <c r="D89" s="827"/>
      <c r="E89" s="827"/>
      <c r="F89" s="827"/>
      <c r="G89" s="827"/>
      <c r="H89" s="853"/>
      <c r="I89" s="28"/>
    </row>
    <row r="90" spans="1:11" ht="13.7" customHeight="1" x14ac:dyDescent="0.2">
      <c r="A90" s="17"/>
      <c r="B90" s="854"/>
      <c r="C90" s="604" t="s">
        <v>3766</v>
      </c>
      <c r="D90" s="604"/>
      <c r="E90" s="604"/>
      <c r="F90" s="604"/>
      <c r="G90" s="604"/>
      <c r="H90" s="855"/>
      <c r="I90" s="28"/>
    </row>
    <row r="91" spans="1:11" ht="13.7" customHeight="1" x14ac:dyDescent="0.2">
      <c r="A91" s="17"/>
      <c r="B91" s="841"/>
      <c r="C91" s="726">
        <f>AB_Eingabe!M21</f>
        <v>1</v>
      </c>
      <c r="D91" s="856" t="str">
        <f>VLOOKUP(AB_Eingabe!$M$21,$B$13:$H$80,$C$2,FALSE)</f>
        <v>auswählen !</v>
      </c>
      <c r="H91" s="842"/>
      <c r="I91" s="28"/>
    </row>
    <row r="92" spans="1:11" ht="13.7" customHeight="1" x14ac:dyDescent="0.2">
      <c r="A92" s="17"/>
      <c r="B92" s="841"/>
      <c r="C92" s="857"/>
      <c r="H92" s="842"/>
      <c r="I92" s="28"/>
    </row>
    <row r="93" spans="1:11" ht="13.7" customHeight="1" x14ac:dyDescent="0.2">
      <c r="A93" s="17"/>
      <c r="B93" s="841"/>
      <c r="C93" s="576" t="s">
        <v>3771</v>
      </c>
      <c r="D93" s="856" t="str">
        <f>VLOOKUP($C$94,$E$82:$F$87,F80,FALSE)</f>
        <v>Min. Boden AZ 40 - 60</v>
      </c>
      <c r="H93" s="842"/>
      <c r="I93" s="28"/>
    </row>
    <row r="94" spans="1:11" ht="13.7" customHeight="1" x14ac:dyDescent="0.2">
      <c r="A94" s="17"/>
      <c r="B94" s="841"/>
      <c r="C94" s="726">
        <f>AB_Eingabe!M41</f>
        <v>2</v>
      </c>
      <c r="D94" s="576" t="str">
        <f>VLOOKUP($C$94,$E$82:$G$87,$G$80,FALSE)</f>
        <v>40 - 60</v>
      </c>
      <c r="E94" s="576" t="s">
        <v>3779</v>
      </c>
      <c r="H94" s="842"/>
      <c r="I94" s="28"/>
    </row>
    <row r="95" spans="1:11" ht="13.7" customHeight="1" x14ac:dyDescent="0.2">
      <c r="A95" s="17"/>
      <c r="B95" s="841"/>
      <c r="C95" s="576">
        <f>C94*100</f>
        <v>200</v>
      </c>
      <c r="H95" s="842"/>
      <c r="I95" s="28"/>
    </row>
    <row r="96" spans="1:11" ht="13.7" customHeight="1" x14ac:dyDescent="0.2">
      <c r="A96" s="17"/>
      <c r="B96" s="852"/>
      <c r="C96" s="1164" t="s">
        <v>4574</v>
      </c>
      <c r="D96" s="1272">
        <f>INDEX($D$13:$H$78,MATCH($C$91,$B$13:$B$78,TRUE),MATCH($C$95,$D$10:$H$10,TRUE))</f>
        <v>0</v>
      </c>
      <c r="E96" s="827"/>
      <c r="F96" s="827"/>
      <c r="G96" s="827"/>
      <c r="H96" s="853"/>
      <c r="I96" s="28" t="s">
        <v>4572</v>
      </c>
    </row>
    <row r="97" spans="2:8" ht="13.7" customHeight="1" x14ac:dyDescent="0.2">
      <c r="B97" s="603"/>
      <c r="C97" s="611"/>
      <c r="D97" s="615"/>
      <c r="E97" s="604"/>
      <c r="F97" s="604"/>
      <c r="G97" s="604"/>
      <c r="H97" s="604"/>
    </row>
    <row r="98" spans="2:8" ht="13.7" customHeight="1" x14ac:dyDescent="0.2">
      <c r="C98" s="595"/>
      <c r="D98" s="597"/>
    </row>
    <row r="99" spans="2:8" ht="13.7" customHeight="1" x14ac:dyDescent="0.2">
      <c r="C99" s="595"/>
      <c r="D99" s="597"/>
    </row>
    <row r="100" spans="2:8" ht="13.7" customHeight="1" x14ac:dyDescent="0.2">
      <c r="C100" s="595" t="s">
        <v>4571</v>
      </c>
      <c r="D100" s="1070">
        <f>Bodenarten!$C$22</f>
        <v>4</v>
      </c>
    </row>
    <row r="101" spans="2:8" ht="13.7" customHeight="1" x14ac:dyDescent="0.2">
      <c r="C101" s="595" t="s">
        <v>4573</v>
      </c>
      <c r="D101" s="1273">
        <f>IF(D100&lt;6,D96,IF(D100=6,VLOOKUP($C$91,$B$13:$H$77,$G$2,FALSE),IF(D100=7,VLOOKUP($C$91,$B$13:$H$77,$H$2,FALSE))))</f>
        <v>0</v>
      </c>
    </row>
    <row r="102" spans="2:8" ht="13.7" customHeight="1" x14ac:dyDescent="0.2">
      <c r="C102" s="595"/>
      <c r="D102" s="597"/>
    </row>
    <row r="106" spans="2:8" ht="13.7" customHeight="1" x14ac:dyDescent="0.2">
      <c r="C106" s="146" t="s">
        <v>4575</v>
      </c>
    </row>
    <row r="107" spans="2:8" ht="13.7" customHeight="1" x14ac:dyDescent="0.2">
      <c r="C107" s="146" t="s">
        <v>4568</v>
      </c>
    </row>
    <row r="108" spans="2:8" ht="13.7" customHeight="1" x14ac:dyDescent="0.2">
      <c r="C108" s="146" t="s">
        <v>4569</v>
      </c>
    </row>
    <row r="109" spans="2:8" ht="13.7" customHeight="1" x14ac:dyDescent="0.2">
      <c r="C109" s="146" t="s">
        <v>4570</v>
      </c>
    </row>
  </sheetData>
  <sheetProtection password="8677" sheet="1" objects="1" scenarios="1"/>
  <printOptions horizontalCentered="1" verticalCentered="1"/>
  <pageMargins left="0.78740157480314965" right="0.59055118110236227" top="0.39370078740157483" bottom="0.39370078740157483" header="0" footer="0.11811023622047245"/>
  <pageSetup paperSize="9" fitToHeight="3" orientation="portrait" horizontalDpi="1200" verticalDpi="1200" r:id="rId1"/>
  <headerFooter alignWithMargins="0">
    <oddFooter>&amp;L&amp;8LEL / LTZ / LAZBW / LWA-DS&amp;C&amp;8&amp;F  &amp;A&amp;R&amp;8&amp;D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6" tint="-0.499984740745262"/>
    <pageSetUpPr fitToPage="1"/>
  </sheetPr>
  <dimension ref="A1:AK105"/>
  <sheetViews>
    <sheetView workbookViewId="0">
      <pane ySplit="21" topLeftCell="A22" activePane="bottomLeft" state="frozen"/>
      <selection activeCell="A173" sqref="A173"/>
      <selection pane="bottomLeft" activeCell="A173" sqref="A173"/>
    </sheetView>
  </sheetViews>
  <sheetFormatPr baseColWidth="10" defaultRowHeight="13.7" customHeight="1" x14ac:dyDescent="0.2"/>
  <cols>
    <col min="1" max="1" width="2.75" style="146" customWidth="1"/>
    <col min="2" max="2" width="2.5" style="657" customWidth="1"/>
    <col min="3" max="3" width="29.25" style="146" bestFit="1" customWidth="1"/>
    <col min="4" max="4" width="15.25" style="576" customWidth="1"/>
    <col min="5" max="5" width="12.125" style="576" customWidth="1"/>
    <col min="6" max="6" width="17.5" style="576" customWidth="1"/>
    <col min="7" max="7" width="10.875" style="576" customWidth="1"/>
    <col min="8" max="8" width="15.25" style="576" customWidth="1"/>
    <col min="9" max="9" width="11.75" style="576" customWidth="1"/>
    <col min="10" max="10" width="13.5" style="576" customWidth="1"/>
    <col min="11" max="11" width="14.75" style="576" customWidth="1"/>
    <col min="12" max="12" width="10.5" style="576" customWidth="1"/>
    <col min="13" max="13" width="9.5" style="576" customWidth="1"/>
    <col min="14" max="14" width="0.875" style="657" customWidth="1"/>
    <col min="15" max="21" width="5.125" style="146" customWidth="1"/>
    <col min="22" max="255" width="11.5" style="146"/>
    <col min="256" max="256" width="1.625" style="146" customWidth="1"/>
    <col min="257" max="257" width="11.5" style="146" customWidth="1"/>
    <col min="258" max="258" width="22.875" style="146" customWidth="1"/>
    <col min="259" max="259" width="1.25" style="146" customWidth="1"/>
    <col min="260" max="260" width="9.5" style="146" bestFit="1" customWidth="1"/>
    <col min="261" max="261" width="11" style="146" customWidth="1"/>
    <col min="262" max="262" width="10.875" style="146" customWidth="1"/>
    <col min="263" max="263" width="8.625" style="146" bestFit="1" customWidth="1"/>
    <col min="264" max="264" width="8.375" style="146" bestFit="1" customWidth="1"/>
    <col min="265" max="265" width="10.5" style="146" bestFit="1" customWidth="1"/>
    <col min="266" max="266" width="40.625" style="146" customWidth="1"/>
    <col min="267" max="511" width="11.5" style="146"/>
    <col min="512" max="512" width="1.625" style="146" customWidth="1"/>
    <col min="513" max="513" width="11.5" style="146" customWidth="1"/>
    <col min="514" max="514" width="22.875" style="146" customWidth="1"/>
    <col min="515" max="515" width="1.25" style="146" customWidth="1"/>
    <col min="516" max="516" width="9.5" style="146" bestFit="1" customWidth="1"/>
    <col min="517" max="517" width="11" style="146" customWidth="1"/>
    <col min="518" max="518" width="10.875" style="146" customWidth="1"/>
    <col min="519" max="519" width="8.625" style="146" bestFit="1" customWidth="1"/>
    <col min="520" max="520" width="8.375" style="146" bestFit="1" customWidth="1"/>
    <col min="521" max="521" width="10.5" style="146" bestFit="1" customWidth="1"/>
    <col min="522" max="522" width="40.625" style="146" customWidth="1"/>
    <col min="523" max="767" width="11.5" style="146"/>
    <col min="768" max="768" width="1.625" style="146" customWidth="1"/>
    <col min="769" max="769" width="11.5" style="146" customWidth="1"/>
    <col min="770" max="770" width="22.875" style="146" customWidth="1"/>
    <col min="771" max="771" width="1.25" style="146" customWidth="1"/>
    <col min="772" max="772" width="9.5" style="146" bestFit="1" customWidth="1"/>
    <col min="773" max="773" width="11" style="146" customWidth="1"/>
    <col min="774" max="774" width="10.875" style="146" customWidth="1"/>
    <col min="775" max="775" width="8.625" style="146" bestFit="1" customWidth="1"/>
    <col min="776" max="776" width="8.375" style="146" bestFit="1" customWidth="1"/>
    <col min="777" max="777" width="10.5" style="146" bestFit="1" customWidth="1"/>
    <col min="778" max="778" width="40.625" style="146" customWidth="1"/>
    <col min="779" max="1023" width="11.5" style="146"/>
    <col min="1024" max="1024" width="1.625" style="146" customWidth="1"/>
    <col min="1025" max="1025" width="11.5" style="146" customWidth="1"/>
    <col min="1026" max="1026" width="22.875" style="146" customWidth="1"/>
    <col min="1027" max="1027" width="1.25" style="146" customWidth="1"/>
    <col min="1028" max="1028" width="9.5" style="146" bestFit="1" customWidth="1"/>
    <col min="1029" max="1029" width="11" style="146" customWidth="1"/>
    <col min="1030" max="1030" width="10.875" style="146" customWidth="1"/>
    <col min="1031" max="1031" width="8.625" style="146" bestFit="1" customWidth="1"/>
    <col min="1032" max="1032" width="8.375" style="146" bestFit="1" customWidth="1"/>
    <col min="1033" max="1033" width="10.5" style="146" bestFit="1" customWidth="1"/>
    <col min="1034" max="1034" width="40.625" style="146" customWidth="1"/>
    <col min="1035" max="1279" width="11.5" style="146"/>
    <col min="1280" max="1280" width="1.625" style="146" customWidth="1"/>
    <col min="1281" max="1281" width="11.5" style="146" customWidth="1"/>
    <col min="1282" max="1282" width="22.875" style="146" customWidth="1"/>
    <col min="1283" max="1283" width="1.25" style="146" customWidth="1"/>
    <col min="1284" max="1284" width="9.5" style="146" bestFit="1" customWidth="1"/>
    <col min="1285" max="1285" width="11" style="146" customWidth="1"/>
    <col min="1286" max="1286" width="10.875" style="146" customWidth="1"/>
    <col min="1287" max="1287" width="8.625" style="146" bestFit="1" customWidth="1"/>
    <col min="1288" max="1288" width="8.375" style="146" bestFit="1" customWidth="1"/>
    <col min="1289" max="1289" width="10.5" style="146" bestFit="1" customWidth="1"/>
    <col min="1290" max="1290" width="40.625" style="146" customWidth="1"/>
    <col min="1291" max="1535" width="11.5" style="146"/>
    <col min="1536" max="1536" width="1.625" style="146" customWidth="1"/>
    <col min="1537" max="1537" width="11.5" style="146" customWidth="1"/>
    <col min="1538" max="1538" width="22.875" style="146" customWidth="1"/>
    <col min="1539" max="1539" width="1.25" style="146" customWidth="1"/>
    <col min="1540" max="1540" width="9.5" style="146" bestFit="1" customWidth="1"/>
    <col min="1541" max="1541" width="11" style="146" customWidth="1"/>
    <col min="1542" max="1542" width="10.875" style="146" customWidth="1"/>
    <col min="1543" max="1543" width="8.625" style="146" bestFit="1" customWidth="1"/>
    <col min="1544" max="1544" width="8.375" style="146" bestFit="1" customWidth="1"/>
    <col min="1545" max="1545" width="10.5" style="146" bestFit="1" customWidth="1"/>
    <col min="1546" max="1546" width="40.625" style="146" customWidth="1"/>
    <col min="1547" max="1791" width="11.5" style="146"/>
    <col min="1792" max="1792" width="1.625" style="146" customWidth="1"/>
    <col min="1793" max="1793" width="11.5" style="146" customWidth="1"/>
    <col min="1794" max="1794" width="22.875" style="146" customWidth="1"/>
    <col min="1795" max="1795" width="1.25" style="146" customWidth="1"/>
    <col min="1796" max="1796" width="9.5" style="146" bestFit="1" customWidth="1"/>
    <col min="1797" max="1797" width="11" style="146" customWidth="1"/>
    <col min="1798" max="1798" width="10.875" style="146" customWidth="1"/>
    <col min="1799" max="1799" width="8.625" style="146" bestFit="1" customWidth="1"/>
    <col min="1800" max="1800" width="8.375" style="146" bestFit="1" customWidth="1"/>
    <col min="1801" max="1801" width="10.5" style="146" bestFit="1" customWidth="1"/>
    <col min="1802" max="1802" width="40.625" style="146" customWidth="1"/>
    <col min="1803" max="2047" width="11.5" style="146"/>
    <col min="2048" max="2048" width="1.625" style="146" customWidth="1"/>
    <col min="2049" max="2049" width="11.5" style="146" customWidth="1"/>
    <col min="2050" max="2050" width="22.875" style="146" customWidth="1"/>
    <col min="2051" max="2051" width="1.25" style="146" customWidth="1"/>
    <col min="2052" max="2052" width="9.5" style="146" bestFit="1" customWidth="1"/>
    <col min="2053" max="2053" width="11" style="146" customWidth="1"/>
    <col min="2054" max="2054" width="10.875" style="146" customWidth="1"/>
    <col min="2055" max="2055" width="8.625" style="146" bestFit="1" customWidth="1"/>
    <col min="2056" max="2056" width="8.375" style="146" bestFit="1" customWidth="1"/>
    <col min="2057" max="2057" width="10.5" style="146" bestFit="1" customWidth="1"/>
    <col min="2058" max="2058" width="40.625" style="146" customWidth="1"/>
    <col min="2059" max="2303" width="11.5" style="146"/>
    <col min="2304" max="2304" width="1.625" style="146" customWidth="1"/>
    <col min="2305" max="2305" width="11.5" style="146" customWidth="1"/>
    <col min="2306" max="2306" width="22.875" style="146" customWidth="1"/>
    <col min="2307" max="2307" width="1.25" style="146" customWidth="1"/>
    <col min="2308" max="2308" width="9.5" style="146" bestFit="1" customWidth="1"/>
    <col min="2309" max="2309" width="11" style="146" customWidth="1"/>
    <col min="2310" max="2310" width="10.875" style="146" customWidth="1"/>
    <col min="2311" max="2311" width="8.625" style="146" bestFit="1" customWidth="1"/>
    <col min="2312" max="2312" width="8.375" style="146" bestFit="1" customWidth="1"/>
    <col min="2313" max="2313" width="10.5" style="146" bestFit="1" customWidth="1"/>
    <col min="2314" max="2314" width="40.625" style="146" customWidth="1"/>
    <col min="2315" max="2559" width="11.5" style="146"/>
    <col min="2560" max="2560" width="1.625" style="146" customWidth="1"/>
    <col min="2561" max="2561" width="11.5" style="146" customWidth="1"/>
    <col min="2562" max="2562" width="22.875" style="146" customWidth="1"/>
    <col min="2563" max="2563" width="1.25" style="146" customWidth="1"/>
    <col min="2564" max="2564" width="9.5" style="146" bestFit="1" customWidth="1"/>
    <col min="2565" max="2565" width="11" style="146" customWidth="1"/>
    <col min="2566" max="2566" width="10.875" style="146" customWidth="1"/>
    <col min="2567" max="2567" width="8.625" style="146" bestFit="1" customWidth="1"/>
    <col min="2568" max="2568" width="8.375" style="146" bestFit="1" customWidth="1"/>
    <col min="2569" max="2569" width="10.5" style="146" bestFit="1" customWidth="1"/>
    <col min="2570" max="2570" width="40.625" style="146" customWidth="1"/>
    <col min="2571" max="2815" width="11.5" style="146"/>
    <col min="2816" max="2816" width="1.625" style="146" customWidth="1"/>
    <col min="2817" max="2817" width="11.5" style="146" customWidth="1"/>
    <col min="2818" max="2818" width="22.875" style="146" customWidth="1"/>
    <col min="2819" max="2819" width="1.25" style="146" customWidth="1"/>
    <col min="2820" max="2820" width="9.5" style="146" bestFit="1" customWidth="1"/>
    <col min="2821" max="2821" width="11" style="146" customWidth="1"/>
    <col min="2822" max="2822" width="10.875" style="146" customWidth="1"/>
    <col min="2823" max="2823" width="8.625" style="146" bestFit="1" customWidth="1"/>
    <col min="2824" max="2824" width="8.375" style="146" bestFit="1" customWidth="1"/>
    <col min="2825" max="2825" width="10.5" style="146" bestFit="1" customWidth="1"/>
    <col min="2826" max="2826" width="40.625" style="146" customWidth="1"/>
    <col min="2827" max="3071" width="11.5" style="146"/>
    <col min="3072" max="3072" width="1.625" style="146" customWidth="1"/>
    <col min="3073" max="3073" width="11.5" style="146" customWidth="1"/>
    <col min="3074" max="3074" width="22.875" style="146" customWidth="1"/>
    <col min="3075" max="3075" width="1.25" style="146" customWidth="1"/>
    <col min="3076" max="3076" width="9.5" style="146" bestFit="1" customWidth="1"/>
    <col min="3077" max="3077" width="11" style="146" customWidth="1"/>
    <col min="3078" max="3078" width="10.875" style="146" customWidth="1"/>
    <col min="3079" max="3079" width="8.625" style="146" bestFit="1" customWidth="1"/>
    <col min="3080" max="3080" width="8.375" style="146" bestFit="1" customWidth="1"/>
    <col min="3081" max="3081" width="10.5" style="146" bestFit="1" customWidth="1"/>
    <col min="3082" max="3082" width="40.625" style="146" customWidth="1"/>
    <col min="3083" max="3327" width="11.5" style="146"/>
    <col min="3328" max="3328" width="1.625" style="146" customWidth="1"/>
    <col min="3329" max="3329" width="11.5" style="146" customWidth="1"/>
    <col min="3330" max="3330" width="22.875" style="146" customWidth="1"/>
    <col min="3331" max="3331" width="1.25" style="146" customWidth="1"/>
    <col min="3332" max="3332" width="9.5" style="146" bestFit="1" customWidth="1"/>
    <col min="3333" max="3333" width="11" style="146" customWidth="1"/>
    <col min="3334" max="3334" width="10.875" style="146" customWidth="1"/>
    <col min="3335" max="3335" width="8.625" style="146" bestFit="1" customWidth="1"/>
    <col min="3336" max="3336" width="8.375" style="146" bestFit="1" customWidth="1"/>
    <col min="3337" max="3337" width="10.5" style="146" bestFit="1" customWidth="1"/>
    <col min="3338" max="3338" width="40.625" style="146" customWidth="1"/>
    <col min="3339" max="3583" width="11.5" style="146"/>
    <col min="3584" max="3584" width="1.625" style="146" customWidth="1"/>
    <col min="3585" max="3585" width="11.5" style="146" customWidth="1"/>
    <col min="3586" max="3586" width="22.875" style="146" customWidth="1"/>
    <col min="3587" max="3587" width="1.25" style="146" customWidth="1"/>
    <col min="3588" max="3588" width="9.5" style="146" bestFit="1" customWidth="1"/>
    <col min="3589" max="3589" width="11" style="146" customWidth="1"/>
    <col min="3590" max="3590" width="10.875" style="146" customWidth="1"/>
    <col min="3591" max="3591" width="8.625" style="146" bestFit="1" customWidth="1"/>
    <col min="3592" max="3592" width="8.375" style="146" bestFit="1" customWidth="1"/>
    <col min="3593" max="3593" width="10.5" style="146" bestFit="1" customWidth="1"/>
    <col min="3594" max="3594" width="40.625" style="146" customWidth="1"/>
    <col min="3595" max="3839" width="11.5" style="146"/>
    <col min="3840" max="3840" width="1.625" style="146" customWidth="1"/>
    <col min="3841" max="3841" width="11.5" style="146" customWidth="1"/>
    <col min="3842" max="3842" width="22.875" style="146" customWidth="1"/>
    <col min="3843" max="3843" width="1.25" style="146" customWidth="1"/>
    <col min="3844" max="3844" width="9.5" style="146" bestFit="1" customWidth="1"/>
    <col min="3845" max="3845" width="11" style="146" customWidth="1"/>
    <col min="3846" max="3846" width="10.875" style="146" customWidth="1"/>
    <col min="3847" max="3847" width="8.625" style="146" bestFit="1" customWidth="1"/>
    <col min="3848" max="3848" width="8.375" style="146" bestFit="1" customWidth="1"/>
    <col min="3849" max="3849" width="10.5" style="146" bestFit="1" customWidth="1"/>
    <col min="3850" max="3850" width="40.625" style="146" customWidth="1"/>
    <col min="3851" max="4095" width="11.5" style="146"/>
    <col min="4096" max="4096" width="1.625" style="146" customWidth="1"/>
    <col min="4097" max="4097" width="11.5" style="146" customWidth="1"/>
    <col min="4098" max="4098" width="22.875" style="146" customWidth="1"/>
    <col min="4099" max="4099" width="1.25" style="146" customWidth="1"/>
    <col min="4100" max="4100" width="9.5" style="146" bestFit="1" customWidth="1"/>
    <col min="4101" max="4101" width="11" style="146" customWidth="1"/>
    <col min="4102" max="4102" width="10.875" style="146" customWidth="1"/>
    <col min="4103" max="4103" width="8.625" style="146" bestFit="1" customWidth="1"/>
    <col min="4104" max="4104" width="8.375" style="146" bestFit="1" customWidth="1"/>
    <col min="4105" max="4105" width="10.5" style="146" bestFit="1" customWidth="1"/>
    <col min="4106" max="4106" width="40.625" style="146" customWidth="1"/>
    <col min="4107" max="4351" width="11.5" style="146"/>
    <col min="4352" max="4352" width="1.625" style="146" customWidth="1"/>
    <col min="4353" max="4353" width="11.5" style="146" customWidth="1"/>
    <col min="4354" max="4354" width="22.875" style="146" customWidth="1"/>
    <col min="4355" max="4355" width="1.25" style="146" customWidth="1"/>
    <col min="4356" max="4356" width="9.5" style="146" bestFit="1" customWidth="1"/>
    <col min="4357" max="4357" width="11" style="146" customWidth="1"/>
    <col min="4358" max="4358" width="10.875" style="146" customWidth="1"/>
    <col min="4359" max="4359" width="8.625" style="146" bestFit="1" customWidth="1"/>
    <col min="4360" max="4360" width="8.375" style="146" bestFit="1" customWidth="1"/>
    <col min="4361" max="4361" width="10.5" style="146" bestFit="1" customWidth="1"/>
    <col min="4362" max="4362" width="40.625" style="146" customWidth="1"/>
    <col min="4363" max="4607" width="11.5" style="146"/>
    <col min="4608" max="4608" width="1.625" style="146" customWidth="1"/>
    <col min="4609" max="4609" width="11.5" style="146" customWidth="1"/>
    <col min="4610" max="4610" width="22.875" style="146" customWidth="1"/>
    <col min="4611" max="4611" width="1.25" style="146" customWidth="1"/>
    <col min="4612" max="4612" width="9.5" style="146" bestFit="1" customWidth="1"/>
    <col min="4613" max="4613" width="11" style="146" customWidth="1"/>
    <col min="4614" max="4614" width="10.875" style="146" customWidth="1"/>
    <col min="4615" max="4615" width="8.625" style="146" bestFit="1" customWidth="1"/>
    <col min="4616" max="4616" width="8.375" style="146" bestFit="1" customWidth="1"/>
    <col min="4617" max="4617" width="10.5" style="146" bestFit="1" customWidth="1"/>
    <col min="4618" max="4618" width="40.625" style="146" customWidth="1"/>
    <col min="4619" max="4863" width="11.5" style="146"/>
    <col min="4864" max="4864" width="1.625" style="146" customWidth="1"/>
    <col min="4865" max="4865" width="11.5" style="146" customWidth="1"/>
    <col min="4866" max="4866" width="22.875" style="146" customWidth="1"/>
    <col min="4867" max="4867" width="1.25" style="146" customWidth="1"/>
    <col min="4868" max="4868" width="9.5" style="146" bestFit="1" customWidth="1"/>
    <col min="4869" max="4869" width="11" style="146" customWidth="1"/>
    <col min="4870" max="4870" width="10.875" style="146" customWidth="1"/>
    <col min="4871" max="4871" width="8.625" style="146" bestFit="1" customWidth="1"/>
    <col min="4872" max="4872" width="8.375" style="146" bestFit="1" customWidth="1"/>
    <col min="4873" max="4873" width="10.5" style="146" bestFit="1" customWidth="1"/>
    <col min="4874" max="4874" width="40.625" style="146" customWidth="1"/>
    <col min="4875" max="5119" width="11.5" style="146"/>
    <col min="5120" max="5120" width="1.625" style="146" customWidth="1"/>
    <col min="5121" max="5121" width="11.5" style="146" customWidth="1"/>
    <col min="5122" max="5122" width="22.875" style="146" customWidth="1"/>
    <col min="5123" max="5123" width="1.25" style="146" customWidth="1"/>
    <col min="5124" max="5124" width="9.5" style="146" bestFit="1" customWidth="1"/>
    <col min="5125" max="5125" width="11" style="146" customWidth="1"/>
    <col min="5126" max="5126" width="10.875" style="146" customWidth="1"/>
    <col min="5127" max="5127" width="8.625" style="146" bestFit="1" customWidth="1"/>
    <col min="5128" max="5128" width="8.375" style="146" bestFit="1" customWidth="1"/>
    <col min="5129" max="5129" width="10.5" style="146" bestFit="1" customWidth="1"/>
    <col min="5130" max="5130" width="40.625" style="146" customWidth="1"/>
    <col min="5131" max="5375" width="11.5" style="146"/>
    <col min="5376" max="5376" width="1.625" style="146" customWidth="1"/>
    <col min="5377" max="5377" width="11.5" style="146" customWidth="1"/>
    <col min="5378" max="5378" width="22.875" style="146" customWidth="1"/>
    <col min="5379" max="5379" width="1.25" style="146" customWidth="1"/>
    <col min="5380" max="5380" width="9.5" style="146" bestFit="1" customWidth="1"/>
    <col min="5381" max="5381" width="11" style="146" customWidth="1"/>
    <col min="5382" max="5382" width="10.875" style="146" customWidth="1"/>
    <col min="5383" max="5383" width="8.625" style="146" bestFit="1" customWidth="1"/>
    <col min="5384" max="5384" width="8.375" style="146" bestFit="1" customWidth="1"/>
    <col min="5385" max="5385" width="10.5" style="146" bestFit="1" customWidth="1"/>
    <col min="5386" max="5386" width="40.625" style="146" customWidth="1"/>
    <col min="5387" max="5631" width="11.5" style="146"/>
    <col min="5632" max="5632" width="1.625" style="146" customWidth="1"/>
    <col min="5633" max="5633" width="11.5" style="146" customWidth="1"/>
    <col min="5634" max="5634" width="22.875" style="146" customWidth="1"/>
    <col min="5635" max="5635" width="1.25" style="146" customWidth="1"/>
    <col min="5636" max="5636" width="9.5" style="146" bestFit="1" customWidth="1"/>
    <col min="5637" max="5637" width="11" style="146" customWidth="1"/>
    <col min="5638" max="5638" width="10.875" style="146" customWidth="1"/>
    <col min="5639" max="5639" width="8.625" style="146" bestFit="1" customWidth="1"/>
    <col min="5640" max="5640" width="8.375" style="146" bestFit="1" customWidth="1"/>
    <col min="5641" max="5641" width="10.5" style="146" bestFit="1" customWidth="1"/>
    <col min="5642" max="5642" width="40.625" style="146" customWidth="1"/>
    <col min="5643" max="5887" width="11.5" style="146"/>
    <col min="5888" max="5888" width="1.625" style="146" customWidth="1"/>
    <col min="5889" max="5889" width="11.5" style="146" customWidth="1"/>
    <col min="5890" max="5890" width="22.875" style="146" customWidth="1"/>
    <col min="5891" max="5891" width="1.25" style="146" customWidth="1"/>
    <col min="5892" max="5892" width="9.5" style="146" bestFit="1" customWidth="1"/>
    <col min="5893" max="5893" width="11" style="146" customWidth="1"/>
    <col min="5894" max="5894" width="10.875" style="146" customWidth="1"/>
    <col min="5895" max="5895" width="8.625" style="146" bestFit="1" customWidth="1"/>
    <col min="5896" max="5896" width="8.375" style="146" bestFit="1" customWidth="1"/>
    <col min="5897" max="5897" width="10.5" style="146" bestFit="1" customWidth="1"/>
    <col min="5898" max="5898" width="40.625" style="146" customWidth="1"/>
    <col min="5899" max="6143" width="11.5" style="146"/>
    <col min="6144" max="6144" width="1.625" style="146" customWidth="1"/>
    <col min="6145" max="6145" width="11.5" style="146" customWidth="1"/>
    <col min="6146" max="6146" width="22.875" style="146" customWidth="1"/>
    <col min="6147" max="6147" width="1.25" style="146" customWidth="1"/>
    <col min="6148" max="6148" width="9.5" style="146" bestFit="1" customWidth="1"/>
    <col min="6149" max="6149" width="11" style="146" customWidth="1"/>
    <col min="6150" max="6150" width="10.875" style="146" customWidth="1"/>
    <col min="6151" max="6151" width="8.625" style="146" bestFit="1" customWidth="1"/>
    <col min="6152" max="6152" width="8.375" style="146" bestFit="1" customWidth="1"/>
    <col min="6153" max="6153" width="10.5" style="146" bestFit="1" customWidth="1"/>
    <col min="6154" max="6154" width="40.625" style="146" customWidth="1"/>
    <col min="6155" max="6399" width="11.5" style="146"/>
    <col min="6400" max="6400" width="1.625" style="146" customWidth="1"/>
    <col min="6401" max="6401" width="11.5" style="146" customWidth="1"/>
    <col min="6402" max="6402" width="22.875" style="146" customWidth="1"/>
    <col min="6403" max="6403" width="1.25" style="146" customWidth="1"/>
    <col min="6404" max="6404" width="9.5" style="146" bestFit="1" customWidth="1"/>
    <col min="6405" max="6405" width="11" style="146" customWidth="1"/>
    <col min="6406" max="6406" width="10.875" style="146" customWidth="1"/>
    <col min="6407" max="6407" width="8.625" style="146" bestFit="1" customWidth="1"/>
    <col min="6408" max="6408" width="8.375" style="146" bestFit="1" customWidth="1"/>
    <col min="6409" max="6409" width="10.5" style="146" bestFit="1" customWidth="1"/>
    <col min="6410" max="6410" width="40.625" style="146" customWidth="1"/>
    <col min="6411" max="6655" width="11.5" style="146"/>
    <col min="6656" max="6656" width="1.625" style="146" customWidth="1"/>
    <col min="6657" max="6657" width="11.5" style="146" customWidth="1"/>
    <col min="6658" max="6658" width="22.875" style="146" customWidth="1"/>
    <col min="6659" max="6659" width="1.25" style="146" customWidth="1"/>
    <col min="6660" max="6660" width="9.5" style="146" bestFit="1" customWidth="1"/>
    <col min="6661" max="6661" width="11" style="146" customWidth="1"/>
    <col min="6662" max="6662" width="10.875" style="146" customWidth="1"/>
    <col min="6663" max="6663" width="8.625" style="146" bestFit="1" customWidth="1"/>
    <col min="6664" max="6664" width="8.375" style="146" bestFit="1" customWidth="1"/>
    <col min="6665" max="6665" width="10.5" style="146" bestFit="1" customWidth="1"/>
    <col min="6666" max="6666" width="40.625" style="146" customWidth="1"/>
    <col min="6667" max="6911" width="11.5" style="146"/>
    <col min="6912" max="6912" width="1.625" style="146" customWidth="1"/>
    <col min="6913" max="6913" width="11.5" style="146" customWidth="1"/>
    <col min="6914" max="6914" width="22.875" style="146" customWidth="1"/>
    <col min="6915" max="6915" width="1.25" style="146" customWidth="1"/>
    <col min="6916" max="6916" width="9.5" style="146" bestFit="1" customWidth="1"/>
    <col min="6917" max="6917" width="11" style="146" customWidth="1"/>
    <col min="6918" max="6918" width="10.875" style="146" customWidth="1"/>
    <col min="6919" max="6919" width="8.625" style="146" bestFit="1" customWidth="1"/>
    <col min="6920" max="6920" width="8.375" style="146" bestFit="1" customWidth="1"/>
    <col min="6921" max="6921" width="10.5" style="146" bestFit="1" customWidth="1"/>
    <col min="6922" max="6922" width="40.625" style="146" customWidth="1"/>
    <col min="6923" max="7167" width="11.5" style="146"/>
    <col min="7168" max="7168" width="1.625" style="146" customWidth="1"/>
    <col min="7169" max="7169" width="11.5" style="146" customWidth="1"/>
    <col min="7170" max="7170" width="22.875" style="146" customWidth="1"/>
    <col min="7171" max="7171" width="1.25" style="146" customWidth="1"/>
    <col min="7172" max="7172" width="9.5" style="146" bestFit="1" customWidth="1"/>
    <col min="7173" max="7173" width="11" style="146" customWidth="1"/>
    <col min="7174" max="7174" width="10.875" style="146" customWidth="1"/>
    <col min="7175" max="7175" width="8.625" style="146" bestFit="1" customWidth="1"/>
    <col min="7176" max="7176" width="8.375" style="146" bestFit="1" customWidth="1"/>
    <col min="7177" max="7177" width="10.5" style="146" bestFit="1" customWidth="1"/>
    <col min="7178" max="7178" width="40.625" style="146" customWidth="1"/>
    <col min="7179" max="7423" width="11.5" style="146"/>
    <col min="7424" max="7424" width="1.625" style="146" customWidth="1"/>
    <col min="7425" max="7425" width="11.5" style="146" customWidth="1"/>
    <col min="7426" max="7426" width="22.875" style="146" customWidth="1"/>
    <col min="7427" max="7427" width="1.25" style="146" customWidth="1"/>
    <col min="7428" max="7428" width="9.5" style="146" bestFit="1" customWidth="1"/>
    <col min="7429" max="7429" width="11" style="146" customWidth="1"/>
    <col min="7430" max="7430" width="10.875" style="146" customWidth="1"/>
    <col min="7431" max="7431" width="8.625" style="146" bestFit="1" customWidth="1"/>
    <col min="7432" max="7432" width="8.375" style="146" bestFit="1" customWidth="1"/>
    <col min="7433" max="7433" width="10.5" style="146" bestFit="1" customWidth="1"/>
    <col min="7434" max="7434" width="40.625" style="146" customWidth="1"/>
    <col min="7435" max="7679" width="11.5" style="146"/>
    <col min="7680" max="7680" width="1.625" style="146" customWidth="1"/>
    <col min="7681" max="7681" width="11.5" style="146" customWidth="1"/>
    <col min="7682" max="7682" width="22.875" style="146" customWidth="1"/>
    <col min="7683" max="7683" width="1.25" style="146" customWidth="1"/>
    <col min="7684" max="7684" width="9.5" style="146" bestFit="1" customWidth="1"/>
    <col min="7685" max="7685" width="11" style="146" customWidth="1"/>
    <col min="7686" max="7686" width="10.875" style="146" customWidth="1"/>
    <col min="7687" max="7687" width="8.625" style="146" bestFit="1" customWidth="1"/>
    <col min="7688" max="7688" width="8.375" style="146" bestFit="1" customWidth="1"/>
    <col min="7689" max="7689" width="10.5" style="146" bestFit="1" customWidth="1"/>
    <col min="7690" max="7690" width="40.625" style="146" customWidth="1"/>
    <col min="7691" max="7935" width="11.5" style="146"/>
    <col min="7936" max="7936" width="1.625" style="146" customWidth="1"/>
    <col min="7937" max="7937" width="11.5" style="146" customWidth="1"/>
    <col min="7938" max="7938" width="22.875" style="146" customWidth="1"/>
    <col min="7939" max="7939" width="1.25" style="146" customWidth="1"/>
    <col min="7940" max="7940" width="9.5" style="146" bestFit="1" customWidth="1"/>
    <col min="7941" max="7941" width="11" style="146" customWidth="1"/>
    <col min="7942" max="7942" width="10.875" style="146" customWidth="1"/>
    <col min="7943" max="7943" width="8.625" style="146" bestFit="1" customWidth="1"/>
    <col min="7944" max="7944" width="8.375" style="146" bestFit="1" customWidth="1"/>
    <col min="7945" max="7945" width="10.5" style="146" bestFit="1" customWidth="1"/>
    <col min="7946" max="7946" width="40.625" style="146" customWidth="1"/>
    <col min="7947" max="8191" width="11.5" style="146"/>
    <col min="8192" max="8192" width="1.625" style="146" customWidth="1"/>
    <col min="8193" max="8193" width="11.5" style="146" customWidth="1"/>
    <col min="8194" max="8194" width="22.875" style="146" customWidth="1"/>
    <col min="8195" max="8195" width="1.25" style="146" customWidth="1"/>
    <col min="8196" max="8196" width="9.5" style="146" bestFit="1" customWidth="1"/>
    <col min="8197" max="8197" width="11" style="146" customWidth="1"/>
    <col min="8198" max="8198" width="10.875" style="146" customWidth="1"/>
    <col min="8199" max="8199" width="8.625" style="146" bestFit="1" customWidth="1"/>
    <col min="8200" max="8200" width="8.375" style="146" bestFit="1" customWidth="1"/>
    <col min="8201" max="8201" width="10.5" style="146" bestFit="1" customWidth="1"/>
    <col min="8202" max="8202" width="40.625" style="146" customWidth="1"/>
    <col min="8203" max="8447" width="11.5" style="146"/>
    <col min="8448" max="8448" width="1.625" style="146" customWidth="1"/>
    <col min="8449" max="8449" width="11.5" style="146" customWidth="1"/>
    <col min="8450" max="8450" width="22.875" style="146" customWidth="1"/>
    <col min="8451" max="8451" width="1.25" style="146" customWidth="1"/>
    <col min="8452" max="8452" width="9.5" style="146" bestFit="1" customWidth="1"/>
    <col min="8453" max="8453" width="11" style="146" customWidth="1"/>
    <col min="8454" max="8454" width="10.875" style="146" customWidth="1"/>
    <col min="8455" max="8455" width="8.625" style="146" bestFit="1" customWidth="1"/>
    <col min="8456" max="8456" width="8.375" style="146" bestFit="1" customWidth="1"/>
    <col min="8457" max="8457" width="10.5" style="146" bestFit="1" customWidth="1"/>
    <col min="8458" max="8458" width="40.625" style="146" customWidth="1"/>
    <col min="8459" max="8703" width="11.5" style="146"/>
    <col min="8704" max="8704" width="1.625" style="146" customWidth="1"/>
    <col min="8705" max="8705" width="11.5" style="146" customWidth="1"/>
    <col min="8706" max="8706" width="22.875" style="146" customWidth="1"/>
    <col min="8707" max="8707" width="1.25" style="146" customWidth="1"/>
    <col min="8708" max="8708" width="9.5" style="146" bestFit="1" customWidth="1"/>
    <col min="8709" max="8709" width="11" style="146" customWidth="1"/>
    <col min="8710" max="8710" width="10.875" style="146" customWidth="1"/>
    <col min="8711" max="8711" width="8.625" style="146" bestFit="1" customWidth="1"/>
    <col min="8712" max="8712" width="8.375" style="146" bestFit="1" customWidth="1"/>
    <col min="8713" max="8713" width="10.5" style="146" bestFit="1" customWidth="1"/>
    <col min="8714" max="8714" width="40.625" style="146" customWidth="1"/>
    <col min="8715" max="8959" width="11.5" style="146"/>
    <col min="8960" max="8960" width="1.625" style="146" customWidth="1"/>
    <col min="8961" max="8961" width="11.5" style="146" customWidth="1"/>
    <col min="8962" max="8962" width="22.875" style="146" customWidth="1"/>
    <col min="8963" max="8963" width="1.25" style="146" customWidth="1"/>
    <col min="8964" max="8964" width="9.5" style="146" bestFit="1" customWidth="1"/>
    <col min="8965" max="8965" width="11" style="146" customWidth="1"/>
    <col min="8966" max="8966" width="10.875" style="146" customWidth="1"/>
    <col min="8967" max="8967" width="8.625" style="146" bestFit="1" customWidth="1"/>
    <col min="8968" max="8968" width="8.375" style="146" bestFit="1" customWidth="1"/>
    <col min="8969" max="8969" width="10.5" style="146" bestFit="1" customWidth="1"/>
    <col min="8970" max="8970" width="40.625" style="146" customWidth="1"/>
    <col min="8971" max="9215" width="11.5" style="146"/>
    <col min="9216" max="9216" width="1.625" style="146" customWidth="1"/>
    <col min="9217" max="9217" width="11.5" style="146" customWidth="1"/>
    <col min="9218" max="9218" width="22.875" style="146" customWidth="1"/>
    <col min="9219" max="9219" width="1.25" style="146" customWidth="1"/>
    <col min="9220" max="9220" width="9.5" style="146" bestFit="1" customWidth="1"/>
    <col min="9221" max="9221" width="11" style="146" customWidth="1"/>
    <col min="9222" max="9222" width="10.875" style="146" customWidth="1"/>
    <col min="9223" max="9223" width="8.625" style="146" bestFit="1" customWidth="1"/>
    <col min="9224" max="9224" width="8.375" style="146" bestFit="1" customWidth="1"/>
    <col min="9225" max="9225" width="10.5" style="146" bestFit="1" customWidth="1"/>
    <col min="9226" max="9226" width="40.625" style="146" customWidth="1"/>
    <col min="9227" max="9471" width="11.5" style="146"/>
    <col min="9472" max="9472" width="1.625" style="146" customWidth="1"/>
    <col min="9473" max="9473" width="11.5" style="146" customWidth="1"/>
    <col min="9474" max="9474" width="22.875" style="146" customWidth="1"/>
    <col min="9475" max="9475" width="1.25" style="146" customWidth="1"/>
    <col min="9476" max="9476" width="9.5" style="146" bestFit="1" customWidth="1"/>
    <col min="9477" max="9477" width="11" style="146" customWidth="1"/>
    <col min="9478" max="9478" width="10.875" style="146" customWidth="1"/>
    <col min="9479" max="9479" width="8.625" style="146" bestFit="1" customWidth="1"/>
    <col min="9480" max="9480" width="8.375" style="146" bestFit="1" customWidth="1"/>
    <col min="9481" max="9481" width="10.5" style="146" bestFit="1" customWidth="1"/>
    <col min="9482" max="9482" width="40.625" style="146" customWidth="1"/>
    <col min="9483" max="9727" width="11.5" style="146"/>
    <col min="9728" max="9728" width="1.625" style="146" customWidth="1"/>
    <col min="9729" max="9729" width="11.5" style="146" customWidth="1"/>
    <col min="9730" max="9730" width="22.875" style="146" customWidth="1"/>
    <col min="9731" max="9731" width="1.25" style="146" customWidth="1"/>
    <col min="9732" max="9732" width="9.5" style="146" bestFit="1" customWidth="1"/>
    <col min="9733" max="9733" width="11" style="146" customWidth="1"/>
    <col min="9734" max="9734" width="10.875" style="146" customWidth="1"/>
    <col min="9735" max="9735" width="8.625" style="146" bestFit="1" customWidth="1"/>
    <col min="9736" max="9736" width="8.375" style="146" bestFit="1" customWidth="1"/>
    <col min="9737" max="9737" width="10.5" style="146" bestFit="1" customWidth="1"/>
    <col min="9738" max="9738" width="40.625" style="146" customWidth="1"/>
    <col min="9739" max="9983" width="11.5" style="146"/>
    <col min="9984" max="9984" width="1.625" style="146" customWidth="1"/>
    <col min="9985" max="9985" width="11.5" style="146" customWidth="1"/>
    <col min="9986" max="9986" width="22.875" style="146" customWidth="1"/>
    <col min="9987" max="9987" width="1.25" style="146" customWidth="1"/>
    <col min="9988" max="9988" width="9.5" style="146" bestFit="1" customWidth="1"/>
    <col min="9989" max="9989" width="11" style="146" customWidth="1"/>
    <col min="9990" max="9990" width="10.875" style="146" customWidth="1"/>
    <col min="9991" max="9991" width="8.625" style="146" bestFit="1" customWidth="1"/>
    <col min="9992" max="9992" width="8.375" style="146" bestFit="1" customWidth="1"/>
    <col min="9993" max="9993" width="10.5" style="146" bestFit="1" customWidth="1"/>
    <col min="9994" max="9994" width="40.625" style="146" customWidth="1"/>
    <col min="9995" max="10239" width="11.5" style="146"/>
    <col min="10240" max="10240" width="1.625" style="146" customWidth="1"/>
    <col min="10241" max="10241" width="11.5" style="146" customWidth="1"/>
    <col min="10242" max="10242" width="22.875" style="146" customWidth="1"/>
    <col min="10243" max="10243" width="1.25" style="146" customWidth="1"/>
    <col min="10244" max="10244" width="9.5" style="146" bestFit="1" customWidth="1"/>
    <col min="10245" max="10245" width="11" style="146" customWidth="1"/>
    <col min="10246" max="10246" width="10.875" style="146" customWidth="1"/>
    <col min="10247" max="10247" width="8.625" style="146" bestFit="1" customWidth="1"/>
    <col min="10248" max="10248" width="8.375" style="146" bestFit="1" customWidth="1"/>
    <col min="10249" max="10249" width="10.5" style="146" bestFit="1" customWidth="1"/>
    <col min="10250" max="10250" width="40.625" style="146" customWidth="1"/>
    <col min="10251" max="10495" width="11.5" style="146"/>
    <col min="10496" max="10496" width="1.625" style="146" customWidth="1"/>
    <col min="10497" max="10497" width="11.5" style="146" customWidth="1"/>
    <col min="10498" max="10498" width="22.875" style="146" customWidth="1"/>
    <col min="10499" max="10499" width="1.25" style="146" customWidth="1"/>
    <col min="10500" max="10500" width="9.5" style="146" bestFit="1" customWidth="1"/>
    <col min="10501" max="10501" width="11" style="146" customWidth="1"/>
    <col min="10502" max="10502" width="10.875" style="146" customWidth="1"/>
    <col min="10503" max="10503" width="8.625" style="146" bestFit="1" customWidth="1"/>
    <col min="10504" max="10504" width="8.375" style="146" bestFit="1" customWidth="1"/>
    <col min="10505" max="10505" width="10.5" style="146" bestFit="1" customWidth="1"/>
    <col min="10506" max="10506" width="40.625" style="146" customWidth="1"/>
    <col min="10507" max="10751" width="11.5" style="146"/>
    <col min="10752" max="10752" width="1.625" style="146" customWidth="1"/>
    <col min="10753" max="10753" width="11.5" style="146" customWidth="1"/>
    <col min="10754" max="10754" width="22.875" style="146" customWidth="1"/>
    <col min="10755" max="10755" width="1.25" style="146" customWidth="1"/>
    <col min="10756" max="10756" width="9.5" style="146" bestFit="1" customWidth="1"/>
    <col min="10757" max="10757" width="11" style="146" customWidth="1"/>
    <col min="10758" max="10758" width="10.875" style="146" customWidth="1"/>
    <col min="10759" max="10759" width="8.625" style="146" bestFit="1" customWidth="1"/>
    <col min="10760" max="10760" width="8.375" style="146" bestFit="1" customWidth="1"/>
    <col min="10761" max="10761" width="10.5" style="146" bestFit="1" customWidth="1"/>
    <col min="10762" max="10762" width="40.625" style="146" customWidth="1"/>
    <col min="10763" max="11007" width="11.5" style="146"/>
    <col min="11008" max="11008" width="1.625" style="146" customWidth="1"/>
    <col min="11009" max="11009" width="11.5" style="146" customWidth="1"/>
    <col min="11010" max="11010" width="22.875" style="146" customWidth="1"/>
    <col min="11011" max="11011" width="1.25" style="146" customWidth="1"/>
    <col min="11012" max="11012" width="9.5" style="146" bestFit="1" customWidth="1"/>
    <col min="11013" max="11013" width="11" style="146" customWidth="1"/>
    <col min="11014" max="11014" width="10.875" style="146" customWidth="1"/>
    <col min="11015" max="11015" width="8.625" style="146" bestFit="1" customWidth="1"/>
    <col min="11016" max="11016" width="8.375" style="146" bestFit="1" customWidth="1"/>
    <col min="11017" max="11017" width="10.5" style="146" bestFit="1" customWidth="1"/>
    <col min="11018" max="11018" width="40.625" style="146" customWidth="1"/>
    <col min="11019" max="11263" width="11.5" style="146"/>
    <col min="11264" max="11264" width="1.625" style="146" customWidth="1"/>
    <col min="11265" max="11265" width="11.5" style="146" customWidth="1"/>
    <col min="11266" max="11266" width="22.875" style="146" customWidth="1"/>
    <col min="11267" max="11267" width="1.25" style="146" customWidth="1"/>
    <col min="11268" max="11268" width="9.5" style="146" bestFit="1" customWidth="1"/>
    <col min="11269" max="11269" width="11" style="146" customWidth="1"/>
    <col min="11270" max="11270" width="10.875" style="146" customWidth="1"/>
    <col min="11271" max="11271" width="8.625" style="146" bestFit="1" customWidth="1"/>
    <col min="11272" max="11272" width="8.375" style="146" bestFit="1" customWidth="1"/>
    <col min="11273" max="11273" width="10.5" style="146" bestFit="1" customWidth="1"/>
    <col min="11274" max="11274" width="40.625" style="146" customWidth="1"/>
    <col min="11275" max="11519" width="11.5" style="146"/>
    <col min="11520" max="11520" width="1.625" style="146" customWidth="1"/>
    <col min="11521" max="11521" width="11.5" style="146" customWidth="1"/>
    <col min="11522" max="11522" width="22.875" style="146" customWidth="1"/>
    <col min="11523" max="11523" width="1.25" style="146" customWidth="1"/>
    <col min="11524" max="11524" width="9.5" style="146" bestFit="1" customWidth="1"/>
    <col min="11525" max="11525" width="11" style="146" customWidth="1"/>
    <col min="11526" max="11526" width="10.875" style="146" customWidth="1"/>
    <col min="11527" max="11527" width="8.625" style="146" bestFit="1" customWidth="1"/>
    <col min="11528" max="11528" width="8.375" style="146" bestFit="1" customWidth="1"/>
    <col min="11529" max="11529" width="10.5" style="146" bestFit="1" customWidth="1"/>
    <col min="11530" max="11530" width="40.625" style="146" customWidth="1"/>
    <col min="11531" max="11775" width="11.5" style="146"/>
    <col min="11776" max="11776" width="1.625" style="146" customWidth="1"/>
    <col min="11777" max="11777" width="11.5" style="146" customWidth="1"/>
    <col min="11778" max="11778" width="22.875" style="146" customWidth="1"/>
    <col min="11779" max="11779" width="1.25" style="146" customWidth="1"/>
    <col min="11780" max="11780" width="9.5" style="146" bestFit="1" customWidth="1"/>
    <col min="11781" max="11781" width="11" style="146" customWidth="1"/>
    <col min="11782" max="11782" width="10.875" style="146" customWidth="1"/>
    <col min="11783" max="11783" width="8.625" style="146" bestFit="1" customWidth="1"/>
    <col min="11784" max="11784" width="8.375" style="146" bestFit="1" customWidth="1"/>
    <col min="11785" max="11785" width="10.5" style="146" bestFit="1" customWidth="1"/>
    <col min="11786" max="11786" width="40.625" style="146" customWidth="1"/>
    <col min="11787" max="12031" width="11.5" style="146"/>
    <col min="12032" max="12032" width="1.625" style="146" customWidth="1"/>
    <col min="12033" max="12033" width="11.5" style="146" customWidth="1"/>
    <col min="12034" max="12034" width="22.875" style="146" customWidth="1"/>
    <col min="12035" max="12035" width="1.25" style="146" customWidth="1"/>
    <col min="12036" max="12036" width="9.5" style="146" bestFit="1" customWidth="1"/>
    <col min="12037" max="12037" width="11" style="146" customWidth="1"/>
    <col min="12038" max="12038" width="10.875" style="146" customWidth="1"/>
    <col min="12039" max="12039" width="8.625" style="146" bestFit="1" customWidth="1"/>
    <col min="12040" max="12040" width="8.375" style="146" bestFit="1" customWidth="1"/>
    <col min="12041" max="12041" width="10.5" style="146" bestFit="1" customWidth="1"/>
    <col min="12042" max="12042" width="40.625" style="146" customWidth="1"/>
    <col min="12043" max="12287" width="11.5" style="146"/>
    <col min="12288" max="12288" width="1.625" style="146" customWidth="1"/>
    <col min="12289" max="12289" width="11.5" style="146" customWidth="1"/>
    <col min="12290" max="12290" width="22.875" style="146" customWidth="1"/>
    <col min="12291" max="12291" width="1.25" style="146" customWidth="1"/>
    <col min="12292" max="12292" width="9.5" style="146" bestFit="1" customWidth="1"/>
    <col min="12293" max="12293" width="11" style="146" customWidth="1"/>
    <col min="12294" max="12294" width="10.875" style="146" customWidth="1"/>
    <col min="12295" max="12295" width="8.625" style="146" bestFit="1" customWidth="1"/>
    <col min="12296" max="12296" width="8.375" style="146" bestFit="1" customWidth="1"/>
    <col min="12297" max="12297" width="10.5" style="146" bestFit="1" customWidth="1"/>
    <col min="12298" max="12298" width="40.625" style="146" customWidth="1"/>
    <col min="12299" max="12543" width="11.5" style="146"/>
    <col min="12544" max="12544" width="1.625" style="146" customWidth="1"/>
    <col min="12545" max="12545" width="11.5" style="146" customWidth="1"/>
    <col min="12546" max="12546" width="22.875" style="146" customWidth="1"/>
    <col min="12547" max="12547" width="1.25" style="146" customWidth="1"/>
    <col min="12548" max="12548" width="9.5" style="146" bestFit="1" customWidth="1"/>
    <col min="12549" max="12549" width="11" style="146" customWidth="1"/>
    <col min="12550" max="12550" width="10.875" style="146" customWidth="1"/>
    <col min="12551" max="12551" width="8.625" style="146" bestFit="1" customWidth="1"/>
    <col min="12552" max="12552" width="8.375" style="146" bestFit="1" customWidth="1"/>
    <col min="12553" max="12553" width="10.5" style="146" bestFit="1" customWidth="1"/>
    <col min="12554" max="12554" width="40.625" style="146" customWidth="1"/>
    <col min="12555" max="12799" width="11.5" style="146"/>
    <col min="12800" max="12800" width="1.625" style="146" customWidth="1"/>
    <col min="12801" max="12801" width="11.5" style="146" customWidth="1"/>
    <col min="12802" max="12802" width="22.875" style="146" customWidth="1"/>
    <col min="12803" max="12803" width="1.25" style="146" customWidth="1"/>
    <col min="12804" max="12804" width="9.5" style="146" bestFit="1" customWidth="1"/>
    <col min="12805" max="12805" width="11" style="146" customWidth="1"/>
    <col min="12806" max="12806" width="10.875" style="146" customWidth="1"/>
    <col min="12807" max="12807" width="8.625" style="146" bestFit="1" customWidth="1"/>
    <col min="12808" max="12808" width="8.375" style="146" bestFit="1" customWidth="1"/>
    <col min="12809" max="12809" width="10.5" style="146" bestFit="1" customWidth="1"/>
    <col min="12810" max="12810" width="40.625" style="146" customWidth="1"/>
    <col min="12811" max="13055" width="11.5" style="146"/>
    <col min="13056" max="13056" width="1.625" style="146" customWidth="1"/>
    <col min="13057" max="13057" width="11.5" style="146" customWidth="1"/>
    <col min="13058" max="13058" width="22.875" style="146" customWidth="1"/>
    <col min="13059" max="13059" width="1.25" style="146" customWidth="1"/>
    <col min="13060" max="13060" width="9.5" style="146" bestFit="1" customWidth="1"/>
    <col min="13061" max="13061" width="11" style="146" customWidth="1"/>
    <col min="13062" max="13062" width="10.875" style="146" customWidth="1"/>
    <col min="13063" max="13063" width="8.625" style="146" bestFit="1" customWidth="1"/>
    <col min="13064" max="13064" width="8.375" style="146" bestFit="1" customWidth="1"/>
    <col min="13065" max="13065" width="10.5" style="146" bestFit="1" customWidth="1"/>
    <col min="13066" max="13066" width="40.625" style="146" customWidth="1"/>
    <col min="13067" max="13311" width="11.5" style="146"/>
    <col min="13312" max="13312" width="1.625" style="146" customWidth="1"/>
    <col min="13313" max="13313" width="11.5" style="146" customWidth="1"/>
    <col min="13314" max="13314" width="22.875" style="146" customWidth="1"/>
    <col min="13315" max="13315" width="1.25" style="146" customWidth="1"/>
    <col min="13316" max="13316" width="9.5" style="146" bestFit="1" customWidth="1"/>
    <col min="13317" max="13317" width="11" style="146" customWidth="1"/>
    <col min="13318" max="13318" width="10.875" style="146" customWidth="1"/>
    <col min="13319" max="13319" width="8.625" style="146" bestFit="1" customWidth="1"/>
    <col min="13320" max="13320" width="8.375" style="146" bestFit="1" customWidth="1"/>
    <col min="13321" max="13321" width="10.5" style="146" bestFit="1" customWidth="1"/>
    <col min="13322" max="13322" width="40.625" style="146" customWidth="1"/>
    <col min="13323" max="13567" width="11.5" style="146"/>
    <col min="13568" max="13568" width="1.625" style="146" customWidth="1"/>
    <col min="13569" max="13569" width="11.5" style="146" customWidth="1"/>
    <col min="13570" max="13570" width="22.875" style="146" customWidth="1"/>
    <col min="13571" max="13571" width="1.25" style="146" customWidth="1"/>
    <col min="13572" max="13572" width="9.5" style="146" bestFit="1" customWidth="1"/>
    <col min="13573" max="13573" width="11" style="146" customWidth="1"/>
    <col min="13574" max="13574" width="10.875" style="146" customWidth="1"/>
    <col min="13575" max="13575" width="8.625" style="146" bestFit="1" customWidth="1"/>
    <col min="13576" max="13576" width="8.375" style="146" bestFit="1" customWidth="1"/>
    <col min="13577" max="13577" width="10.5" style="146" bestFit="1" customWidth="1"/>
    <col min="13578" max="13578" width="40.625" style="146" customWidth="1"/>
    <col min="13579" max="13823" width="11.5" style="146"/>
    <col min="13824" max="13824" width="1.625" style="146" customWidth="1"/>
    <col min="13825" max="13825" width="11.5" style="146" customWidth="1"/>
    <col min="13826" max="13826" width="22.875" style="146" customWidth="1"/>
    <col min="13827" max="13827" width="1.25" style="146" customWidth="1"/>
    <col min="13828" max="13828" width="9.5" style="146" bestFit="1" customWidth="1"/>
    <col min="13829" max="13829" width="11" style="146" customWidth="1"/>
    <col min="13830" max="13830" width="10.875" style="146" customWidth="1"/>
    <col min="13831" max="13831" width="8.625" style="146" bestFit="1" customWidth="1"/>
    <col min="13832" max="13832" width="8.375" style="146" bestFit="1" customWidth="1"/>
    <col min="13833" max="13833" width="10.5" style="146" bestFit="1" customWidth="1"/>
    <col min="13834" max="13834" width="40.625" style="146" customWidth="1"/>
    <col min="13835" max="14079" width="11.5" style="146"/>
    <col min="14080" max="14080" width="1.625" style="146" customWidth="1"/>
    <col min="14081" max="14081" width="11.5" style="146" customWidth="1"/>
    <col min="14082" max="14082" width="22.875" style="146" customWidth="1"/>
    <col min="14083" max="14083" width="1.25" style="146" customWidth="1"/>
    <col min="14084" max="14084" width="9.5" style="146" bestFit="1" customWidth="1"/>
    <col min="14085" max="14085" width="11" style="146" customWidth="1"/>
    <col min="14086" max="14086" width="10.875" style="146" customWidth="1"/>
    <col min="14087" max="14087" width="8.625" style="146" bestFit="1" customWidth="1"/>
    <col min="14088" max="14088" width="8.375" style="146" bestFit="1" customWidth="1"/>
    <col min="14089" max="14089" width="10.5" style="146" bestFit="1" customWidth="1"/>
    <col min="14090" max="14090" width="40.625" style="146" customWidth="1"/>
    <col min="14091" max="14335" width="11.5" style="146"/>
    <col min="14336" max="14336" width="1.625" style="146" customWidth="1"/>
    <col min="14337" max="14337" width="11.5" style="146" customWidth="1"/>
    <col min="14338" max="14338" width="22.875" style="146" customWidth="1"/>
    <col min="14339" max="14339" width="1.25" style="146" customWidth="1"/>
    <col min="14340" max="14340" width="9.5" style="146" bestFit="1" customWidth="1"/>
    <col min="14341" max="14341" width="11" style="146" customWidth="1"/>
    <col min="14342" max="14342" width="10.875" style="146" customWidth="1"/>
    <col min="14343" max="14343" width="8.625" style="146" bestFit="1" customWidth="1"/>
    <col min="14344" max="14344" width="8.375" style="146" bestFit="1" customWidth="1"/>
    <col min="14345" max="14345" width="10.5" style="146" bestFit="1" customWidth="1"/>
    <col min="14346" max="14346" width="40.625" style="146" customWidth="1"/>
    <col min="14347" max="14591" width="11.5" style="146"/>
    <col min="14592" max="14592" width="1.625" style="146" customWidth="1"/>
    <col min="14593" max="14593" width="11.5" style="146" customWidth="1"/>
    <col min="14594" max="14594" width="22.875" style="146" customWidth="1"/>
    <col min="14595" max="14595" width="1.25" style="146" customWidth="1"/>
    <col min="14596" max="14596" width="9.5" style="146" bestFit="1" customWidth="1"/>
    <col min="14597" max="14597" width="11" style="146" customWidth="1"/>
    <col min="14598" max="14598" width="10.875" style="146" customWidth="1"/>
    <col min="14599" max="14599" width="8.625" style="146" bestFit="1" customWidth="1"/>
    <col min="14600" max="14600" width="8.375" style="146" bestFit="1" customWidth="1"/>
    <col min="14601" max="14601" width="10.5" style="146" bestFit="1" customWidth="1"/>
    <col min="14602" max="14602" width="40.625" style="146" customWidth="1"/>
    <col min="14603" max="14847" width="11.5" style="146"/>
    <col min="14848" max="14848" width="1.625" style="146" customWidth="1"/>
    <col min="14849" max="14849" width="11.5" style="146" customWidth="1"/>
    <col min="14850" max="14850" width="22.875" style="146" customWidth="1"/>
    <col min="14851" max="14851" width="1.25" style="146" customWidth="1"/>
    <col min="14852" max="14852" width="9.5" style="146" bestFit="1" customWidth="1"/>
    <col min="14853" max="14853" width="11" style="146" customWidth="1"/>
    <col min="14854" max="14854" width="10.875" style="146" customWidth="1"/>
    <col min="14855" max="14855" width="8.625" style="146" bestFit="1" customWidth="1"/>
    <col min="14856" max="14856" width="8.375" style="146" bestFit="1" customWidth="1"/>
    <col min="14857" max="14857" width="10.5" style="146" bestFit="1" customWidth="1"/>
    <col min="14858" max="14858" width="40.625" style="146" customWidth="1"/>
    <col min="14859" max="15103" width="11.5" style="146"/>
    <col min="15104" max="15104" width="1.625" style="146" customWidth="1"/>
    <col min="15105" max="15105" width="11.5" style="146" customWidth="1"/>
    <col min="15106" max="15106" width="22.875" style="146" customWidth="1"/>
    <col min="15107" max="15107" width="1.25" style="146" customWidth="1"/>
    <col min="15108" max="15108" width="9.5" style="146" bestFit="1" customWidth="1"/>
    <col min="15109" max="15109" width="11" style="146" customWidth="1"/>
    <col min="15110" max="15110" width="10.875" style="146" customWidth="1"/>
    <col min="15111" max="15111" width="8.625" style="146" bestFit="1" customWidth="1"/>
    <col min="15112" max="15112" width="8.375" style="146" bestFit="1" customWidth="1"/>
    <col min="15113" max="15113" width="10.5" style="146" bestFit="1" customWidth="1"/>
    <col min="15114" max="15114" width="40.625" style="146" customWidth="1"/>
    <col min="15115" max="15359" width="11.5" style="146"/>
    <col min="15360" max="15360" width="1.625" style="146" customWidth="1"/>
    <col min="15361" max="15361" width="11.5" style="146" customWidth="1"/>
    <col min="15362" max="15362" width="22.875" style="146" customWidth="1"/>
    <col min="15363" max="15363" width="1.25" style="146" customWidth="1"/>
    <col min="15364" max="15364" width="9.5" style="146" bestFit="1" customWidth="1"/>
    <col min="15365" max="15365" width="11" style="146" customWidth="1"/>
    <col min="15366" max="15366" width="10.875" style="146" customWidth="1"/>
    <col min="15367" max="15367" width="8.625" style="146" bestFit="1" customWidth="1"/>
    <col min="15368" max="15368" width="8.375" style="146" bestFit="1" customWidth="1"/>
    <col min="15369" max="15369" width="10.5" style="146" bestFit="1" customWidth="1"/>
    <col min="15370" max="15370" width="40.625" style="146" customWidth="1"/>
    <col min="15371" max="15615" width="11.5" style="146"/>
    <col min="15616" max="15616" width="1.625" style="146" customWidth="1"/>
    <col min="15617" max="15617" width="11.5" style="146" customWidth="1"/>
    <col min="15618" max="15618" width="22.875" style="146" customWidth="1"/>
    <col min="15619" max="15619" width="1.25" style="146" customWidth="1"/>
    <col min="15620" max="15620" width="9.5" style="146" bestFit="1" customWidth="1"/>
    <col min="15621" max="15621" width="11" style="146" customWidth="1"/>
    <col min="15622" max="15622" width="10.875" style="146" customWidth="1"/>
    <col min="15623" max="15623" width="8.625" style="146" bestFit="1" customWidth="1"/>
    <col min="15624" max="15624" width="8.375" style="146" bestFit="1" customWidth="1"/>
    <col min="15625" max="15625" width="10.5" style="146" bestFit="1" customWidth="1"/>
    <col min="15626" max="15626" width="40.625" style="146" customWidth="1"/>
    <col min="15627" max="15871" width="11.5" style="146"/>
    <col min="15872" max="15872" width="1.625" style="146" customWidth="1"/>
    <col min="15873" max="15873" width="11.5" style="146" customWidth="1"/>
    <col min="15874" max="15874" width="22.875" style="146" customWidth="1"/>
    <col min="15875" max="15875" width="1.25" style="146" customWidth="1"/>
    <col min="15876" max="15876" width="9.5" style="146" bestFit="1" customWidth="1"/>
    <col min="15877" max="15877" width="11" style="146" customWidth="1"/>
    <col min="15878" max="15878" width="10.875" style="146" customWidth="1"/>
    <col min="15879" max="15879" width="8.625" style="146" bestFit="1" customWidth="1"/>
    <col min="15880" max="15880" width="8.375" style="146" bestFit="1" customWidth="1"/>
    <col min="15881" max="15881" width="10.5" style="146" bestFit="1" customWidth="1"/>
    <col min="15882" max="15882" width="40.625" style="146" customWidth="1"/>
    <col min="15883" max="16127" width="11.5" style="146"/>
    <col min="16128" max="16128" width="1.625" style="146" customWidth="1"/>
    <col min="16129" max="16129" width="11.5" style="146" customWidth="1"/>
    <col min="16130" max="16130" width="22.875" style="146" customWidth="1"/>
    <col min="16131" max="16131" width="1.25" style="146" customWidth="1"/>
    <col min="16132" max="16132" width="9.5" style="146" bestFit="1" customWidth="1"/>
    <col min="16133" max="16133" width="11" style="146" customWidth="1"/>
    <col min="16134" max="16134" width="10.875" style="146" customWidth="1"/>
    <col min="16135" max="16135" width="8.625" style="146" bestFit="1" customWidth="1"/>
    <col min="16136" max="16136" width="8.375" style="146" bestFit="1" customWidth="1"/>
    <col min="16137" max="16137" width="10.5" style="146" bestFit="1" customWidth="1"/>
    <col min="16138" max="16138" width="40.625" style="146" customWidth="1"/>
    <col min="16139" max="16384" width="11.5" style="146"/>
  </cols>
  <sheetData>
    <row r="1" spans="1:37" ht="31.7" customHeight="1" x14ac:dyDescent="0.25">
      <c r="C1" s="808" t="str">
        <f>Startmenue!G2</f>
        <v>Version 1.2</v>
      </c>
      <c r="D1" s="146"/>
      <c r="E1" s="146"/>
      <c r="F1" s="146"/>
      <c r="H1" s="146"/>
      <c r="I1" s="146"/>
      <c r="J1" s="146"/>
      <c r="K1" s="146"/>
      <c r="L1" s="146"/>
      <c r="M1" s="146"/>
      <c r="U1" s="576"/>
      <c r="Z1" s="595"/>
      <c r="AE1" s="576"/>
      <c r="AJ1" s="576"/>
      <c r="AK1" s="597"/>
    </row>
    <row r="2" spans="1:37" ht="13.7" customHeight="1" x14ac:dyDescent="0.2">
      <c r="B2" s="575" t="s">
        <v>4368</v>
      </c>
      <c r="C2" s="595"/>
      <c r="D2" s="577" t="s">
        <v>4408</v>
      </c>
    </row>
    <row r="3" spans="1:37" ht="13.7" customHeight="1" x14ac:dyDescent="0.2">
      <c r="B3" s="481" t="s">
        <v>4369</v>
      </c>
      <c r="C3" s="595"/>
      <c r="D3" s="577" t="s">
        <v>4591</v>
      </c>
      <c r="H3" s="584"/>
    </row>
    <row r="4" spans="1:37" ht="13.7" customHeight="1" x14ac:dyDescent="0.2">
      <c r="B4" s="595"/>
      <c r="C4" s="595"/>
      <c r="D4" s="577" t="s">
        <v>4592</v>
      </c>
      <c r="E4" s="146"/>
      <c r="F4" s="146"/>
      <c r="G4" s="146"/>
      <c r="H4" s="146"/>
      <c r="I4" s="146"/>
      <c r="J4" s="146"/>
      <c r="K4" s="146"/>
      <c r="L4" s="146"/>
      <c r="M4" s="146"/>
    </row>
    <row r="5" spans="1:37" ht="0.75" customHeight="1" x14ac:dyDescent="0.2">
      <c r="D5" s="146"/>
      <c r="E5" s="146"/>
      <c r="F5" s="146"/>
      <c r="G5" s="146"/>
      <c r="H5" s="146"/>
      <c r="I5" s="146"/>
      <c r="J5" s="146"/>
      <c r="K5" s="146"/>
      <c r="L5" s="146"/>
      <c r="M5" s="146"/>
    </row>
    <row r="6" spans="1:37" ht="0.75" customHeight="1" x14ac:dyDescent="0.2">
      <c r="D6" s="146"/>
      <c r="E6" s="146"/>
      <c r="F6" s="146"/>
      <c r="G6" s="146"/>
      <c r="H6" s="146"/>
      <c r="I6" s="146"/>
      <c r="J6" s="146"/>
      <c r="K6" s="146"/>
      <c r="L6" s="146"/>
      <c r="M6" s="146"/>
    </row>
    <row r="7" spans="1:37" ht="0.75" customHeight="1" x14ac:dyDescent="0.2">
      <c r="D7" s="146"/>
      <c r="E7" s="146"/>
      <c r="F7" s="146"/>
      <c r="G7" s="146"/>
      <c r="H7" s="146"/>
      <c r="I7" s="146"/>
      <c r="J7" s="146"/>
      <c r="K7" s="146"/>
      <c r="L7" s="146"/>
      <c r="M7" s="146"/>
    </row>
    <row r="8" spans="1:37" ht="0.75" customHeight="1" x14ac:dyDescent="0.2">
      <c r="D8" s="146"/>
      <c r="E8" s="146"/>
      <c r="F8" s="146"/>
      <c r="G8" s="146"/>
      <c r="H8" s="146"/>
      <c r="I8" s="146"/>
      <c r="J8" s="146"/>
      <c r="K8" s="146"/>
      <c r="L8" s="146"/>
      <c r="M8" s="146"/>
    </row>
    <row r="9" spans="1:37" ht="0.75" customHeight="1" x14ac:dyDescent="0.2">
      <c r="D9" s="146"/>
      <c r="E9" s="146"/>
      <c r="F9" s="146"/>
      <c r="G9" s="146"/>
      <c r="H9" s="146"/>
      <c r="I9" s="146"/>
      <c r="J9" s="146"/>
      <c r="K9" s="146"/>
      <c r="L9" s="146"/>
      <c r="M9" s="146"/>
    </row>
    <row r="10" spans="1:37" ht="0.75" customHeight="1" x14ac:dyDescent="0.2">
      <c r="D10" s="146"/>
      <c r="E10" s="146"/>
      <c r="F10" s="146"/>
      <c r="G10" s="146"/>
      <c r="H10" s="146"/>
      <c r="I10" s="146"/>
      <c r="J10" s="146"/>
      <c r="K10" s="146"/>
      <c r="L10" s="146"/>
      <c r="M10" s="146"/>
    </row>
    <row r="11" spans="1:37" s="1154" customFormat="1" ht="0.75" customHeight="1" x14ac:dyDescent="0.2">
      <c r="B11" s="806">
        <f>COLUMNS($B11:B$11)</f>
        <v>1</v>
      </c>
      <c r="C11" s="806">
        <f>COLUMNS($B11:C$11)</f>
        <v>2</v>
      </c>
      <c r="D11" s="806">
        <f>COLUMNS($B11:D$11)</f>
        <v>3</v>
      </c>
      <c r="E11" s="806">
        <f>COLUMNS($B11:E$11)</f>
        <v>4</v>
      </c>
      <c r="F11" s="806">
        <f>COLUMNS($B11:F$11)</f>
        <v>5</v>
      </c>
      <c r="G11" s="806">
        <f>COLUMNS($B11:G$11)</f>
        <v>6</v>
      </c>
      <c r="H11" s="806">
        <f>COLUMNS($B11:H$11)</f>
        <v>7</v>
      </c>
      <c r="I11" s="806">
        <f>COLUMNS($B11:I$11)</f>
        <v>8</v>
      </c>
      <c r="J11" s="806">
        <f>COLUMNS($B11:J$11)</f>
        <v>9</v>
      </c>
      <c r="K11" s="806">
        <f>COLUMNS($B11:K$11)</f>
        <v>10</v>
      </c>
      <c r="L11" s="806">
        <f>COLUMNS($B11:L$11)</f>
        <v>11</v>
      </c>
      <c r="M11" s="806">
        <f>COLUMNS($B11:M$11)</f>
        <v>12</v>
      </c>
      <c r="N11" s="806">
        <f>COLUMNS($B11:N$11)</f>
        <v>13</v>
      </c>
    </row>
    <row r="12" spans="1:37" ht="0.75" customHeight="1" x14ac:dyDescent="0.2">
      <c r="A12" s="17"/>
      <c r="B12" s="809"/>
      <c r="C12" s="810"/>
      <c r="D12" s="807"/>
      <c r="E12" s="807"/>
      <c r="F12" s="807"/>
      <c r="G12" s="807"/>
      <c r="H12" s="807"/>
      <c r="I12" s="807"/>
      <c r="J12" s="807"/>
      <c r="K12" s="807"/>
      <c r="L12" s="807"/>
      <c r="M12" s="811"/>
      <c r="N12" s="812"/>
      <c r="O12" s="28"/>
    </row>
    <row r="13" spans="1:37" s="574" customFormat="1" ht="13.7" customHeight="1" x14ac:dyDescent="0.2">
      <c r="A13" s="947"/>
      <c r="B13" s="1156"/>
      <c r="C13" s="574" t="s">
        <v>3666</v>
      </c>
      <c r="D13" s="950" t="s">
        <v>3365</v>
      </c>
      <c r="E13" s="950"/>
      <c r="F13" s="950" t="s">
        <v>3366</v>
      </c>
      <c r="G13" s="950"/>
      <c r="H13" s="950" t="s">
        <v>3367</v>
      </c>
      <c r="I13" s="950"/>
      <c r="J13" s="950" t="s">
        <v>3368</v>
      </c>
      <c r="K13" s="950"/>
      <c r="L13" s="950" t="s">
        <v>3369</v>
      </c>
      <c r="M13" s="1078"/>
      <c r="N13" s="1157"/>
      <c r="O13" s="951"/>
    </row>
    <row r="14" spans="1:37" s="657" customFormat="1" ht="10.9" x14ac:dyDescent="0.2">
      <c r="A14" s="816"/>
      <c r="B14" s="813"/>
      <c r="C14" s="657" t="s">
        <v>3792</v>
      </c>
      <c r="D14" s="680">
        <v>1000</v>
      </c>
      <c r="E14" s="680"/>
      <c r="F14" s="680">
        <v>2000</v>
      </c>
      <c r="G14" s="680"/>
      <c r="H14" s="680">
        <v>3000</v>
      </c>
      <c r="I14" s="680"/>
      <c r="J14" s="680">
        <v>6000</v>
      </c>
      <c r="K14" s="680"/>
      <c r="L14" s="680">
        <v>7000</v>
      </c>
      <c r="M14" s="818"/>
      <c r="N14" s="815"/>
      <c r="O14" s="819"/>
    </row>
    <row r="15" spans="1:37" ht="0.75" customHeight="1" x14ac:dyDescent="0.2">
      <c r="A15" s="17"/>
      <c r="B15" s="813"/>
      <c r="M15" s="814"/>
      <c r="N15" s="815"/>
      <c r="O15" s="28"/>
    </row>
    <row r="16" spans="1:37" s="574" customFormat="1" ht="13.7" customHeight="1" x14ac:dyDescent="0.2">
      <c r="A16" s="947"/>
      <c r="B16" s="1156"/>
      <c r="C16" s="574" t="s">
        <v>3592</v>
      </c>
      <c r="D16" s="950" t="s">
        <v>3590</v>
      </c>
      <c r="E16" s="950" t="s">
        <v>3593</v>
      </c>
      <c r="F16" s="950" t="s">
        <v>3590</v>
      </c>
      <c r="G16" s="950" t="s">
        <v>3593</v>
      </c>
      <c r="H16" s="950" t="s">
        <v>3590</v>
      </c>
      <c r="I16" s="950" t="s">
        <v>3593</v>
      </c>
      <c r="J16" s="950" t="s">
        <v>3590</v>
      </c>
      <c r="K16" s="950" t="s">
        <v>3593</v>
      </c>
      <c r="L16" s="950" t="s">
        <v>3590</v>
      </c>
      <c r="M16" s="1078" t="s">
        <v>3593</v>
      </c>
      <c r="N16" s="1157"/>
      <c r="O16" s="951"/>
    </row>
    <row r="17" spans="1:22" s="657" customFormat="1" ht="10.9" x14ac:dyDescent="0.2">
      <c r="A17" s="816"/>
      <c r="B17" s="813"/>
      <c r="C17" s="657" t="s">
        <v>3793</v>
      </c>
      <c r="D17" s="680">
        <v>100</v>
      </c>
      <c r="E17" s="680">
        <v>200</v>
      </c>
      <c r="F17" s="680">
        <v>100</v>
      </c>
      <c r="G17" s="680">
        <v>200</v>
      </c>
      <c r="H17" s="680">
        <v>100</v>
      </c>
      <c r="I17" s="680">
        <v>200</v>
      </c>
      <c r="J17" s="680">
        <v>100</v>
      </c>
      <c r="K17" s="680">
        <v>200</v>
      </c>
      <c r="L17" s="680">
        <v>100</v>
      </c>
      <c r="M17" s="818">
        <v>200</v>
      </c>
      <c r="N17" s="815"/>
      <c r="O17" s="819"/>
    </row>
    <row r="18" spans="1:22" ht="0.75" customHeight="1" x14ac:dyDescent="0.2">
      <c r="A18" s="17"/>
      <c r="B18" s="813"/>
      <c r="M18" s="814"/>
      <c r="N18" s="815"/>
      <c r="O18" s="28"/>
    </row>
    <row r="19" spans="1:22" s="657" customFormat="1" ht="2.85" customHeight="1" x14ac:dyDescent="0.2">
      <c r="A19" s="816"/>
      <c r="B19" s="813"/>
      <c r="C19" s="817" t="s">
        <v>3785</v>
      </c>
      <c r="D19" s="680">
        <f>D14+D17</f>
        <v>1100</v>
      </c>
      <c r="E19" s="680">
        <f>D14+E17</f>
        <v>1200</v>
      </c>
      <c r="F19" s="680">
        <f>F14+F17</f>
        <v>2100</v>
      </c>
      <c r="G19" s="680">
        <f>F14+G17</f>
        <v>2200</v>
      </c>
      <c r="H19" s="680">
        <f>H14+H17</f>
        <v>3100</v>
      </c>
      <c r="I19" s="680">
        <f>H14+I17</f>
        <v>3200</v>
      </c>
      <c r="J19" s="680">
        <f>J14+J17</f>
        <v>6100</v>
      </c>
      <c r="K19" s="680">
        <f>J14+K17</f>
        <v>6200</v>
      </c>
      <c r="L19" s="680">
        <f>L14+L17</f>
        <v>7100</v>
      </c>
      <c r="M19" s="818">
        <f>L14+M17</f>
        <v>7200</v>
      </c>
      <c r="N19" s="815"/>
      <c r="O19" s="819"/>
    </row>
    <row r="20" spans="1:22" ht="0.75" customHeight="1" x14ac:dyDescent="0.2">
      <c r="A20" s="17"/>
      <c r="B20" s="813"/>
      <c r="M20" s="814"/>
      <c r="N20" s="815"/>
      <c r="O20" s="28"/>
    </row>
    <row r="21" spans="1:22" s="574" customFormat="1" x14ac:dyDescent="0.2">
      <c r="A21" s="947"/>
      <c r="B21" s="948" t="s">
        <v>3786</v>
      </c>
      <c r="C21" s="574" t="s">
        <v>13</v>
      </c>
      <c r="D21" s="1095" t="s">
        <v>30</v>
      </c>
      <c r="E21" s="1095" t="s">
        <v>30</v>
      </c>
      <c r="F21" s="1095" t="s">
        <v>30</v>
      </c>
      <c r="G21" s="1095" t="s">
        <v>30</v>
      </c>
      <c r="H21" s="1095" t="s">
        <v>30</v>
      </c>
      <c r="I21" s="1095" t="s">
        <v>30</v>
      </c>
      <c r="J21" s="1095" t="s">
        <v>30</v>
      </c>
      <c r="K21" s="1095" t="s">
        <v>30</v>
      </c>
      <c r="L21" s="1095" t="s">
        <v>30</v>
      </c>
      <c r="M21" s="1183" t="s">
        <v>30</v>
      </c>
      <c r="N21" s="1157" t="s">
        <v>3791</v>
      </c>
      <c r="O21" s="951"/>
    </row>
    <row r="22" spans="1:22" ht="13.7" customHeight="1" x14ac:dyDescent="0.2">
      <c r="A22" s="17"/>
      <c r="B22" s="820">
        <f>Kulturen!E46</f>
        <v>35</v>
      </c>
      <c r="C22" s="146" t="str">
        <f>Kulturen!F46</f>
        <v>Körnermais 10 % RP</v>
      </c>
      <c r="D22" s="576">
        <v>50</v>
      </c>
      <c r="E22" s="576">
        <v>20</v>
      </c>
      <c r="F22" s="576">
        <v>60</v>
      </c>
      <c r="G22" s="576">
        <v>30</v>
      </c>
      <c r="H22" s="576">
        <v>70</v>
      </c>
      <c r="I22" s="576">
        <v>40</v>
      </c>
      <c r="J22" s="576">
        <v>80</v>
      </c>
      <c r="K22" s="576">
        <v>50</v>
      </c>
      <c r="L22" s="576">
        <v>100</v>
      </c>
      <c r="M22" s="814">
        <v>70</v>
      </c>
      <c r="N22" s="821">
        <f>B22</f>
        <v>35</v>
      </c>
      <c r="O22" s="28"/>
      <c r="V22" s="146" t="s">
        <v>3661</v>
      </c>
    </row>
    <row r="23" spans="1:22" ht="13.7" customHeight="1" x14ac:dyDescent="0.2">
      <c r="A23" s="17"/>
      <c r="B23" s="820">
        <f>Kulturen!E47</f>
        <v>36</v>
      </c>
      <c r="C23" s="146" t="str">
        <f>Kulturen!F47</f>
        <v>Körnermais beregnet 10 % RP</v>
      </c>
      <c r="D23" s="576">
        <v>50</v>
      </c>
      <c r="E23" s="576">
        <v>20</v>
      </c>
      <c r="F23" s="576">
        <v>60</v>
      </c>
      <c r="G23" s="576">
        <v>30</v>
      </c>
      <c r="H23" s="576">
        <v>70</v>
      </c>
      <c r="I23" s="576">
        <v>40</v>
      </c>
      <c r="J23" s="576">
        <v>80</v>
      </c>
      <c r="K23" s="576">
        <v>50</v>
      </c>
      <c r="L23" s="576">
        <v>100</v>
      </c>
      <c r="M23" s="814">
        <v>70</v>
      </c>
      <c r="N23" s="821">
        <f t="shared" ref="N23:N31" si="0">B23</f>
        <v>36</v>
      </c>
      <c r="O23" s="28"/>
    </row>
    <row r="24" spans="1:22" ht="13.7" customHeight="1" x14ac:dyDescent="0.2">
      <c r="A24" s="17"/>
      <c r="B24" s="820">
        <f>Kulturen!E48</f>
        <v>37</v>
      </c>
      <c r="C24" s="146" t="str">
        <f>Kulturen!F48</f>
        <v>Silomais Trockenmasse</v>
      </c>
      <c r="D24" s="576">
        <v>50</v>
      </c>
      <c r="E24" s="576">
        <v>20</v>
      </c>
      <c r="F24" s="576">
        <v>60</v>
      </c>
      <c r="G24" s="576">
        <v>30</v>
      </c>
      <c r="H24" s="576">
        <v>70</v>
      </c>
      <c r="I24" s="576">
        <v>40</v>
      </c>
      <c r="J24" s="576">
        <v>80</v>
      </c>
      <c r="K24" s="576">
        <v>50</v>
      </c>
      <c r="L24" s="576">
        <v>100</v>
      </c>
      <c r="M24" s="814">
        <v>70</v>
      </c>
      <c r="N24" s="821">
        <f t="shared" si="0"/>
        <v>37</v>
      </c>
      <c r="O24" s="28"/>
    </row>
    <row r="25" spans="1:22" ht="13.7" customHeight="1" x14ac:dyDescent="0.2">
      <c r="A25" s="17"/>
      <c r="B25" s="820">
        <f>Kulturen!E49</f>
        <v>38</v>
      </c>
      <c r="C25" s="146" t="str">
        <f>Kulturen!F49</f>
        <v>Silomais  Frischmasse 33 % TS</v>
      </c>
      <c r="D25" s="576">
        <v>50</v>
      </c>
      <c r="E25" s="576">
        <v>20</v>
      </c>
      <c r="F25" s="576">
        <v>60</v>
      </c>
      <c r="G25" s="576">
        <v>30</v>
      </c>
      <c r="H25" s="576">
        <v>70</v>
      </c>
      <c r="I25" s="576">
        <v>40</v>
      </c>
      <c r="J25" s="576">
        <v>80</v>
      </c>
      <c r="K25" s="576">
        <v>50</v>
      </c>
      <c r="L25" s="576">
        <v>100</v>
      </c>
      <c r="M25" s="814">
        <v>70</v>
      </c>
      <c r="N25" s="821">
        <f t="shared" si="0"/>
        <v>38</v>
      </c>
      <c r="O25" s="28"/>
    </row>
    <row r="26" spans="1:22" ht="13.7" customHeight="1" x14ac:dyDescent="0.2">
      <c r="A26" s="17"/>
      <c r="B26" s="820">
        <f>Kulturen!E50</f>
        <v>39</v>
      </c>
      <c r="C26" s="146" t="str">
        <f>Kulturen!F50</f>
        <v>Corn-Cob-Mix, CCM</v>
      </c>
      <c r="D26" s="576">
        <v>50</v>
      </c>
      <c r="E26" s="576">
        <v>20</v>
      </c>
      <c r="F26" s="576">
        <v>60</v>
      </c>
      <c r="G26" s="576">
        <v>30</v>
      </c>
      <c r="H26" s="576">
        <v>70</v>
      </c>
      <c r="I26" s="576">
        <v>40</v>
      </c>
      <c r="J26" s="576">
        <v>80</v>
      </c>
      <c r="K26" s="576">
        <v>50</v>
      </c>
      <c r="L26" s="576">
        <v>100</v>
      </c>
      <c r="M26" s="814">
        <v>70</v>
      </c>
      <c r="N26" s="821">
        <f t="shared" si="0"/>
        <v>39</v>
      </c>
      <c r="O26" s="28"/>
    </row>
    <row r="27" spans="1:22" ht="13.7" customHeight="1" x14ac:dyDescent="0.2">
      <c r="A27" s="17"/>
      <c r="B27" s="820">
        <f>Kulturen!E51</f>
        <v>40</v>
      </c>
      <c r="C27" s="146" t="s">
        <v>4772</v>
      </c>
      <c r="D27" s="576">
        <v>50</v>
      </c>
      <c r="E27" s="576">
        <v>20</v>
      </c>
      <c r="F27" s="576">
        <v>60</v>
      </c>
      <c r="G27" s="576">
        <v>30</v>
      </c>
      <c r="H27" s="576">
        <v>70</v>
      </c>
      <c r="I27" s="576">
        <v>40</v>
      </c>
      <c r="J27" s="576">
        <v>80</v>
      </c>
      <c r="K27" s="576">
        <v>50</v>
      </c>
      <c r="L27" s="576">
        <v>100</v>
      </c>
      <c r="M27" s="814">
        <v>70</v>
      </c>
      <c r="N27" s="821">
        <f t="shared" si="0"/>
        <v>40</v>
      </c>
      <c r="O27" s="28"/>
    </row>
    <row r="28" spans="1:22" ht="13.7" customHeight="1" x14ac:dyDescent="0.2">
      <c r="A28" s="17"/>
      <c r="B28" s="820">
        <f>Kulturen!E52</f>
        <v>41</v>
      </c>
      <c r="C28" s="146" t="s">
        <v>4773</v>
      </c>
      <c r="D28" s="576">
        <v>50</v>
      </c>
      <c r="E28" s="576">
        <v>20</v>
      </c>
      <c r="F28" s="576">
        <v>60</v>
      </c>
      <c r="G28" s="576">
        <v>30</v>
      </c>
      <c r="H28" s="576">
        <v>70</v>
      </c>
      <c r="I28" s="576">
        <v>40</v>
      </c>
      <c r="J28" s="576">
        <v>80</v>
      </c>
      <c r="K28" s="576">
        <v>50</v>
      </c>
      <c r="L28" s="576">
        <v>100</v>
      </c>
      <c r="M28" s="814">
        <v>70</v>
      </c>
      <c r="N28" s="821">
        <f t="shared" ref="N28:N30" si="1">B28</f>
        <v>41</v>
      </c>
      <c r="O28" s="28"/>
    </row>
    <row r="29" spans="1:22" ht="13.7" customHeight="1" x14ac:dyDescent="0.2">
      <c r="A29" s="17"/>
      <c r="B29" s="820">
        <f>Kulturen!E53</f>
        <v>42</v>
      </c>
      <c r="C29" s="146" t="s">
        <v>4774</v>
      </c>
      <c r="D29" s="576">
        <v>50</v>
      </c>
      <c r="E29" s="576">
        <v>20</v>
      </c>
      <c r="F29" s="576">
        <v>60</v>
      </c>
      <c r="G29" s="576">
        <v>30</v>
      </c>
      <c r="H29" s="576">
        <v>70</v>
      </c>
      <c r="I29" s="576">
        <v>40</v>
      </c>
      <c r="J29" s="576">
        <v>80</v>
      </c>
      <c r="K29" s="576">
        <v>50</v>
      </c>
      <c r="L29" s="576">
        <v>100</v>
      </c>
      <c r="M29" s="814">
        <v>70</v>
      </c>
      <c r="N29" s="821">
        <f t="shared" si="1"/>
        <v>42</v>
      </c>
      <c r="O29" s="28"/>
    </row>
    <row r="30" spans="1:22" ht="13.7" customHeight="1" x14ac:dyDescent="0.2">
      <c r="A30" s="17"/>
      <c r="B30" s="820">
        <f>Kulturen!E54</f>
        <v>43</v>
      </c>
      <c r="C30" s="146" t="s">
        <v>4775</v>
      </c>
      <c r="D30" s="576">
        <v>50</v>
      </c>
      <c r="E30" s="576">
        <v>20</v>
      </c>
      <c r="F30" s="576">
        <v>60</v>
      </c>
      <c r="G30" s="576">
        <v>30</v>
      </c>
      <c r="H30" s="576">
        <v>70</v>
      </c>
      <c r="I30" s="576">
        <v>40</v>
      </c>
      <c r="J30" s="576">
        <v>80</v>
      </c>
      <c r="K30" s="576">
        <v>50</v>
      </c>
      <c r="L30" s="576">
        <v>100</v>
      </c>
      <c r="M30" s="814">
        <v>70</v>
      </c>
      <c r="N30" s="821">
        <f t="shared" si="1"/>
        <v>43</v>
      </c>
      <c r="O30" s="28"/>
    </row>
    <row r="31" spans="1:22" ht="13.7" customHeight="1" x14ac:dyDescent="0.2">
      <c r="A31" s="17"/>
      <c r="B31" s="820">
        <f>Kulturen!E60</f>
        <v>49</v>
      </c>
      <c r="C31" s="146" t="str">
        <f>Kulturen!F60</f>
        <v>Energiemais  Frischmasse 30 % TS</v>
      </c>
      <c r="D31" s="576">
        <v>50</v>
      </c>
      <c r="E31" s="576">
        <v>20</v>
      </c>
      <c r="F31" s="576">
        <v>60</v>
      </c>
      <c r="G31" s="576">
        <v>30</v>
      </c>
      <c r="H31" s="576">
        <v>70</v>
      </c>
      <c r="I31" s="576">
        <v>40</v>
      </c>
      <c r="J31" s="576">
        <v>80</v>
      </c>
      <c r="K31" s="576">
        <v>50</v>
      </c>
      <c r="L31" s="576">
        <v>100</v>
      </c>
      <c r="M31" s="814">
        <v>70</v>
      </c>
      <c r="N31" s="821">
        <f t="shared" si="0"/>
        <v>49</v>
      </c>
      <c r="O31" s="28"/>
    </row>
    <row r="32" spans="1:22" ht="13.7" customHeight="1" x14ac:dyDescent="0.2">
      <c r="A32" s="17"/>
      <c r="B32" s="813"/>
      <c r="M32" s="814"/>
      <c r="N32" s="815"/>
      <c r="O32" s="28"/>
    </row>
    <row r="33" spans="1:15" ht="13.7" customHeight="1" x14ac:dyDescent="0.2">
      <c r="A33" s="17"/>
      <c r="B33" s="813"/>
      <c r="M33" s="814"/>
      <c r="N33" s="815"/>
      <c r="O33" s="28"/>
    </row>
    <row r="34" spans="1:15" ht="13.7" customHeight="1" x14ac:dyDescent="0.2">
      <c r="A34" s="17"/>
      <c r="B34" s="813"/>
      <c r="M34" s="814"/>
      <c r="N34" s="815"/>
      <c r="O34" s="28"/>
    </row>
    <row r="35" spans="1:15" ht="13.7" customHeight="1" x14ac:dyDescent="0.2">
      <c r="A35" s="17"/>
      <c r="B35" s="822"/>
      <c r="C35" s="1009"/>
      <c r="D35" s="1158"/>
      <c r="E35" s="1158"/>
      <c r="F35" s="1158"/>
      <c r="G35" s="1158"/>
      <c r="H35" s="1158"/>
      <c r="I35" s="1158"/>
      <c r="J35" s="1158"/>
      <c r="K35" s="659"/>
      <c r="L35" s="659"/>
      <c r="M35" s="823"/>
      <c r="N35" s="824"/>
      <c r="O35" s="28"/>
    </row>
    <row r="36" spans="1:15" ht="13.7" customHeight="1" x14ac:dyDescent="0.2">
      <c r="A36" s="17"/>
      <c r="B36" s="809"/>
      <c r="C36" s="1106" t="s">
        <v>3686</v>
      </c>
      <c r="D36" s="1159" t="s">
        <v>3685</v>
      </c>
      <c r="E36" s="1106"/>
      <c r="F36" s="1106"/>
      <c r="G36" s="1106"/>
      <c r="H36" s="1106"/>
      <c r="I36" s="1106"/>
      <c r="J36" s="1106"/>
      <c r="K36" s="807"/>
      <c r="L36" s="807"/>
      <c r="M36" s="811"/>
      <c r="N36" s="812"/>
      <c r="O36" s="28"/>
    </row>
    <row r="37" spans="1:15" ht="13.7" customHeight="1" x14ac:dyDescent="0.2">
      <c r="A37" s="17"/>
      <c r="B37" s="813"/>
      <c r="C37" s="680">
        <f>COLUMNS($C$2:C2)</f>
        <v>1</v>
      </c>
      <c r="D37" s="680">
        <f>COLUMNS($C$2:D2)</f>
        <v>2</v>
      </c>
      <c r="E37" s="597"/>
      <c r="F37" s="597"/>
      <c r="G37" s="597"/>
      <c r="H37" s="597"/>
      <c r="I37" s="597" t="s">
        <v>3784</v>
      </c>
      <c r="J37" s="597"/>
      <c r="M37" s="1155" t="s">
        <v>4138</v>
      </c>
      <c r="N37" s="815"/>
      <c r="O37" s="28"/>
    </row>
    <row r="38" spans="1:15" ht="13.7" customHeight="1" x14ac:dyDescent="0.2">
      <c r="A38" s="17"/>
      <c r="B38" s="813"/>
      <c r="C38" s="680">
        <v>1</v>
      </c>
      <c r="D38" s="595" t="s">
        <v>4267</v>
      </c>
      <c r="E38" s="597"/>
      <c r="F38" s="597" t="s">
        <v>3796</v>
      </c>
      <c r="G38" s="597"/>
      <c r="H38" s="597">
        <f>C38*100</f>
        <v>100</v>
      </c>
      <c r="I38" s="597" t="s">
        <v>3782</v>
      </c>
      <c r="J38" s="597"/>
      <c r="M38" s="825"/>
      <c r="N38" s="815"/>
      <c r="O38" s="28"/>
    </row>
    <row r="39" spans="1:15" s="489" customFormat="1" ht="13.7" customHeight="1" x14ac:dyDescent="0.2">
      <c r="A39" s="1275"/>
      <c r="B39" s="989"/>
      <c r="C39" s="686">
        <f>C38+1</f>
        <v>2</v>
      </c>
      <c r="D39" s="687" t="s">
        <v>4776</v>
      </c>
      <c r="E39" s="677"/>
      <c r="F39" s="677" t="s">
        <v>3795</v>
      </c>
      <c r="G39" s="677"/>
      <c r="H39" s="677">
        <f>C39*100</f>
        <v>200</v>
      </c>
      <c r="I39" s="677"/>
      <c r="J39" s="677"/>
      <c r="K39" s="594"/>
      <c r="L39" s="1276"/>
      <c r="M39" s="1277" t="s">
        <v>3755</v>
      </c>
      <c r="N39" s="1278"/>
      <c r="O39" s="493"/>
    </row>
    <row r="40" spans="1:15" s="489" customFormat="1" ht="13.7" customHeight="1" x14ac:dyDescent="0.2">
      <c r="A40" s="1275"/>
      <c r="B40" s="989"/>
      <c r="C40" s="494" t="s">
        <v>3488</v>
      </c>
      <c r="D40" s="1279">
        <f>AB_Eingabe!M68</f>
        <v>2</v>
      </c>
      <c r="E40" s="677"/>
      <c r="F40" s="677"/>
      <c r="G40" s="677"/>
      <c r="H40" s="677">
        <f>D40*100</f>
        <v>200</v>
      </c>
      <c r="I40" s="677"/>
      <c r="J40" s="677"/>
      <c r="K40" s="594"/>
      <c r="L40" s="1276"/>
      <c r="M40" s="1280"/>
      <c r="N40" s="1278"/>
      <c r="O40" s="493"/>
    </row>
    <row r="41" spans="1:15" ht="13.7" customHeight="1" x14ac:dyDescent="0.2">
      <c r="A41" s="17"/>
      <c r="B41" s="826"/>
      <c r="C41" s="1162" t="s">
        <v>3488</v>
      </c>
      <c r="D41" s="1163" t="str">
        <f>VLOOKUP($D$40,$C$38:$D$39,$D$37,FALSE)</f>
        <v>zum 6-Blattstadium/späte Nmin</v>
      </c>
      <c r="E41" s="1164"/>
      <c r="F41" s="1164"/>
      <c r="G41" s="1164"/>
      <c r="H41" s="1164"/>
      <c r="I41" s="1164"/>
      <c r="J41" s="1164"/>
      <c r="K41" s="827"/>
      <c r="L41" s="827"/>
      <c r="M41" s="828"/>
      <c r="N41" s="829"/>
      <c r="O41" s="28"/>
    </row>
    <row r="42" spans="1:15" ht="13.7" customHeight="1" x14ac:dyDescent="0.2">
      <c r="A42" s="17"/>
      <c r="B42" s="830"/>
      <c r="C42" s="611"/>
      <c r="D42" s="615"/>
      <c r="E42" s="615"/>
      <c r="F42" s="615"/>
      <c r="G42" s="615"/>
      <c r="H42" s="615"/>
      <c r="I42" s="615"/>
      <c r="J42" s="1107"/>
      <c r="K42" s="832"/>
      <c r="L42" s="604"/>
      <c r="M42" s="831"/>
      <c r="N42" s="833"/>
      <c r="O42" s="28"/>
    </row>
    <row r="43" spans="1:15" ht="13.7" customHeight="1" x14ac:dyDescent="0.2">
      <c r="A43" s="17"/>
      <c r="B43" s="813"/>
      <c r="C43" s="595"/>
      <c r="D43" s="597"/>
      <c r="E43" s="597"/>
      <c r="F43" s="597"/>
      <c r="G43" s="597"/>
      <c r="H43" s="597"/>
      <c r="I43" s="597"/>
      <c r="J43" s="884"/>
      <c r="K43" s="834"/>
      <c r="M43" s="814"/>
      <c r="N43" s="815"/>
      <c r="O43" s="28"/>
    </row>
    <row r="44" spans="1:15" ht="13.7" customHeight="1" x14ac:dyDescent="0.2">
      <c r="A44" s="17"/>
      <c r="B44" s="813"/>
      <c r="C44" s="595"/>
      <c r="D44" s="597"/>
      <c r="E44" s="597"/>
      <c r="F44" s="597"/>
      <c r="G44" s="597"/>
      <c r="H44" s="597"/>
      <c r="I44" s="597"/>
      <c r="J44" s="884"/>
      <c r="K44" s="834"/>
      <c r="M44" s="814"/>
      <c r="N44" s="815"/>
      <c r="O44" s="28"/>
    </row>
    <row r="45" spans="1:15" ht="13.7" customHeight="1" x14ac:dyDescent="0.2">
      <c r="A45" s="17"/>
      <c r="B45" s="813"/>
      <c r="C45" s="595" t="s">
        <v>3780</v>
      </c>
      <c r="D45" s="597" t="str">
        <f>IF(VLOOKUP(AB_Eingabe!M21,Kulturen!E12:AJ93,Kulturen!AJ8,FALSE)="Mais","Mais","kein Mais")</f>
        <v>kein Mais</v>
      </c>
      <c r="E45" s="597"/>
      <c r="F45" s="597"/>
      <c r="G45" s="584" t="s">
        <v>3791</v>
      </c>
      <c r="H45" s="584">
        <f>IF(ISERROR(VLOOKUP($D$46,$C$22:$N$31,$N$11-1,FALSE)),0,VLOOKUP($D$46,$C$22:$N$31,$N$11-1,FALSE))</f>
        <v>0</v>
      </c>
      <c r="I45" s="597" t="s">
        <v>3790</v>
      </c>
      <c r="J45" s="884"/>
      <c r="K45" s="834"/>
      <c r="M45" s="814"/>
      <c r="N45" s="815"/>
      <c r="O45" s="28"/>
    </row>
    <row r="46" spans="1:15" ht="13.7" customHeight="1" x14ac:dyDescent="0.2">
      <c r="A46" s="17"/>
      <c r="B46" s="813"/>
      <c r="C46" s="595" t="s">
        <v>3488</v>
      </c>
      <c r="D46" s="963" t="str">
        <f>IF(D45="Mais",VLOOKUP(AB_Eingabe!$M$21,$B$22:$M$31,C11,FALSE),"")</f>
        <v/>
      </c>
      <c r="E46" s="597"/>
      <c r="F46" s="597"/>
      <c r="G46" s="597"/>
      <c r="H46" s="597"/>
      <c r="I46" s="597"/>
      <c r="J46" s="884"/>
      <c r="K46" s="834"/>
      <c r="M46" s="814"/>
      <c r="N46" s="815"/>
      <c r="O46" s="28"/>
    </row>
    <row r="47" spans="1:15" ht="13.7" customHeight="1" x14ac:dyDescent="0.2">
      <c r="A47" s="17"/>
      <c r="B47" s="813"/>
      <c r="C47" s="595"/>
      <c r="D47" s="597"/>
      <c r="E47" s="597"/>
      <c r="F47" s="597"/>
      <c r="G47" s="597"/>
      <c r="H47" s="597"/>
      <c r="I47" s="597"/>
      <c r="J47" s="884"/>
      <c r="K47" s="835" t="s">
        <v>3789</v>
      </c>
      <c r="M47" s="814"/>
      <c r="N47" s="815"/>
      <c r="O47" s="28"/>
    </row>
    <row r="48" spans="1:15" ht="13.7" customHeight="1" x14ac:dyDescent="0.2">
      <c r="A48" s="17"/>
      <c r="B48" s="813"/>
      <c r="C48" s="595" t="s">
        <v>3787</v>
      </c>
      <c r="D48" s="597"/>
      <c r="E48" s="597"/>
      <c r="F48" s="597"/>
      <c r="G48" s="597"/>
      <c r="H48" s="597"/>
      <c r="I48" s="597" t="s">
        <v>3784</v>
      </c>
      <c r="J48" s="884"/>
      <c r="K48" s="834"/>
      <c r="L48" s="577"/>
      <c r="M48" s="814"/>
      <c r="N48" s="815"/>
      <c r="O48" s="28"/>
    </row>
    <row r="49" spans="1:15" ht="13.7" customHeight="1" x14ac:dyDescent="0.2">
      <c r="A49" s="17"/>
      <c r="B49" s="813"/>
      <c r="C49" s="595" t="s">
        <v>3781</v>
      </c>
      <c r="D49" s="595" t="str">
        <f>VLOOKUP(AB_Eingabe!M41,Ackerzahl!E82:F87,Ackerzahl!F80,FALSE)</f>
        <v>Min. Boden AZ 40 - 60</v>
      </c>
      <c r="E49" s="595"/>
      <c r="F49" s="597">
        <f>Ackerzahl!C94</f>
        <v>2</v>
      </c>
      <c r="G49" s="597"/>
      <c r="H49" s="597">
        <f>IF(D59&lt;6,F49*1000,H59)</f>
        <v>2000</v>
      </c>
      <c r="I49" s="597" t="s">
        <v>3783</v>
      </c>
      <c r="J49" s="884"/>
      <c r="K49" s="1093">
        <v>1</v>
      </c>
      <c r="L49" s="577" t="s">
        <v>3365</v>
      </c>
      <c r="M49" s="814"/>
      <c r="N49" s="815"/>
      <c r="O49" s="28"/>
    </row>
    <row r="50" spans="1:15" ht="13.7" customHeight="1" x14ac:dyDescent="0.2">
      <c r="A50" s="17"/>
      <c r="B50" s="813"/>
      <c r="C50" s="595"/>
      <c r="D50" s="597"/>
      <c r="E50" s="597"/>
      <c r="F50" s="597"/>
      <c r="G50" s="597"/>
      <c r="H50" s="597"/>
      <c r="I50" s="597"/>
      <c r="J50" s="884"/>
      <c r="K50" s="1093">
        <v>2</v>
      </c>
      <c r="L50" s="577" t="s">
        <v>3366</v>
      </c>
      <c r="M50" s="814"/>
      <c r="N50" s="815"/>
      <c r="O50" s="28"/>
    </row>
    <row r="51" spans="1:15" ht="13.7" customHeight="1" x14ac:dyDescent="0.2">
      <c r="A51" s="17"/>
      <c r="B51" s="813"/>
      <c r="C51" s="595"/>
      <c r="D51" s="597"/>
      <c r="E51" s="597"/>
      <c r="F51" s="597"/>
      <c r="G51" s="596" t="s">
        <v>3788</v>
      </c>
      <c r="H51" s="584">
        <f>H40+H49</f>
        <v>2200</v>
      </c>
      <c r="I51" s="597"/>
      <c r="J51" s="884"/>
      <c r="K51" s="1093">
        <v>3</v>
      </c>
      <c r="L51" s="577" t="s">
        <v>3367</v>
      </c>
      <c r="M51" s="814"/>
      <c r="N51" s="815"/>
      <c r="O51" s="28"/>
    </row>
    <row r="52" spans="1:15" ht="13.7" customHeight="1" x14ac:dyDescent="0.2">
      <c r="A52" s="17"/>
      <c r="B52" s="813"/>
      <c r="C52" s="595"/>
      <c r="D52" s="597"/>
      <c r="E52" s="597"/>
      <c r="F52" s="597"/>
      <c r="G52" s="597"/>
      <c r="H52" s="597"/>
      <c r="I52" s="597"/>
      <c r="J52" s="884"/>
      <c r="K52" s="1093">
        <v>4</v>
      </c>
      <c r="L52" s="577" t="s">
        <v>3368</v>
      </c>
      <c r="M52" s="814"/>
      <c r="N52" s="815"/>
      <c r="O52" s="28"/>
    </row>
    <row r="53" spans="1:15" ht="13.7" customHeight="1" x14ac:dyDescent="0.2">
      <c r="A53" s="17"/>
      <c r="B53" s="826"/>
      <c r="C53" s="1004" t="s">
        <v>3344</v>
      </c>
      <c r="D53" s="1164">
        <f>IF(ISERROR(INDEX($D$22:$M$31,MATCH($H$45,$B$22:$B$31,TRUE),MATCH($H$51,$D$19:$M$19,TRUE))),0,INDEX($D$22:$M$31,MATCH($H$45,$B$22:$B$31,TRUE),MATCH($H$51,$D$19:$M$19,TRUE)))</f>
        <v>0</v>
      </c>
      <c r="E53" s="1163" t="s">
        <v>3309</v>
      </c>
      <c r="F53" s="1164"/>
      <c r="G53" s="1164"/>
      <c r="H53" s="1164"/>
      <c r="I53" s="1164"/>
      <c r="J53" s="1165"/>
      <c r="K53" s="1274">
        <v>5</v>
      </c>
      <c r="L53" s="837" t="s">
        <v>3369</v>
      </c>
      <c r="M53" s="828"/>
      <c r="N53" s="829"/>
      <c r="O53" s="28"/>
    </row>
    <row r="54" spans="1:15" ht="13.7" customHeight="1" x14ac:dyDescent="0.2">
      <c r="B54" s="838"/>
      <c r="C54" s="611"/>
      <c r="D54" s="615"/>
      <c r="E54" s="615"/>
      <c r="F54" s="615"/>
      <c r="G54" s="615"/>
      <c r="H54" s="615"/>
      <c r="I54" s="615"/>
      <c r="J54" s="615"/>
      <c r="K54" s="604"/>
      <c r="L54" s="604"/>
      <c r="M54" s="604"/>
      <c r="N54" s="838"/>
    </row>
    <row r="55" spans="1:15" ht="13.7" customHeight="1" x14ac:dyDescent="0.2">
      <c r="C55" s="595"/>
      <c r="D55" s="595"/>
      <c r="E55" s="595"/>
      <c r="F55" s="595"/>
      <c r="G55" s="595"/>
      <c r="H55" s="595"/>
      <c r="I55" s="595"/>
      <c r="J55" s="595"/>
      <c r="K55" s="146"/>
      <c r="L55" s="146"/>
      <c r="M55" s="146"/>
    </row>
    <row r="56" spans="1:15" ht="13.7" customHeight="1" x14ac:dyDescent="0.25">
      <c r="C56" s="583" t="s">
        <v>4707</v>
      </c>
      <c r="D56" s="595"/>
      <c r="E56" s="595"/>
      <c r="F56" s="595"/>
      <c r="G56" s="595"/>
      <c r="H56" s="595"/>
      <c r="I56" s="595"/>
      <c r="J56" s="595"/>
      <c r="K56" s="146"/>
      <c r="L56" s="146"/>
      <c r="M56" s="146"/>
    </row>
    <row r="57" spans="1:15" ht="13.7" customHeight="1" x14ac:dyDescent="0.2">
      <c r="C57" s="146" t="s">
        <v>4708</v>
      </c>
      <c r="F57" s="595"/>
      <c r="G57" s="595"/>
      <c r="H57" s="595"/>
      <c r="I57" s="595"/>
      <c r="J57" s="595"/>
      <c r="K57" s="146"/>
      <c r="L57" s="146"/>
      <c r="M57" s="146"/>
    </row>
    <row r="58" spans="1:15" ht="13.7" customHeight="1" x14ac:dyDescent="0.2">
      <c r="F58" s="595"/>
      <c r="G58" s="595"/>
      <c r="H58" s="1516" t="s">
        <v>4709</v>
      </c>
      <c r="I58" s="595"/>
      <c r="J58" s="595"/>
      <c r="K58" s="146"/>
      <c r="L58" s="146"/>
      <c r="M58" s="146"/>
    </row>
    <row r="59" spans="1:15" ht="13.7" customHeight="1" x14ac:dyDescent="0.2">
      <c r="C59" s="595" t="s">
        <v>4710</v>
      </c>
      <c r="D59" s="726">
        <f>Bodenarten!C22</f>
        <v>4</v>
      </c>
      <c r="E59" s="595" t="s">
        <v>4711</v>
      </c>
      <c r="F59" s="597"/>
      <c r="G59" s="597"/>
      <c r="H59" s="597" t="str">
        <f>IF(D59&lt;6,"entfällt",D59*1000)</f>
        <v>entfällt</v>
      </c>
      <c r="I59" s="597"/>
      <c r="J59" s="597"/>
    </row>
    <row r="60" spans="1:15" ht="13.7" customHeight="1" x14ac:dyDescent="0.2">
      <c r="C60" s="595" t="s">
        <v>4712</v>
      </c>
      <c r="D60" s="963" t="str">
        <f>Bodenarten!C23</f>
        <v>sandiger bis schluffiger Lehm, sL - uL</v>
      </c>
      <c r="E60" s="595"/>
      <c r="F60" s="597"/>
      <c r="G60" s="597"/>
      <c r="H60" s="597"/>
      <c r="I60" s="597"/>
      <c r="J60" s="597"/>
    </row>
    <row r="61" spans="1:15" ht="13.7" customHeight="1" x14ac:dyDescent="0.2">
      <c r="C61" s="595"/>
      <c r="D61" s="597"/>
      <c r="E61" s="597"/>
      <c r="F61" s="597"/>
      <c r="G61" s="597"/>
      <c r="H61" s="597"/>
      <c r="I61" s="597"/>
      <c r="J61" s="597"/>
    </row>
    <row r="62" spans="1:15" ht="13.7" customHeight="1" x14ac:dyDescent="0.2">
      <c r="C62" s="595"/>
      <c r="D62" s="597"/>
      <c r="E62" s="597"/>
      <c r="F62" s="597"/>
      <c r="G62" s="597"/>
      <c r="H62" s="597"/>
      <c r="I62" s="597"/>
      <c r="J62" s="597"/>
    </row>
    <row r="67" spans="4:13" ht="13.7" customHeight="1" x14ac:dyDescent="0.2">
      <c r="D67" s="146"/>
      <c r="E67" s="146"/>
      <c r="F67" s="146"/>
      <c r="G67" s="146"/>
      <c r="H67" s="146"/>
      <c r="I67" s="146"/>
      <c r="J67" s="146"/>
      <c r="K67" s="146"/>
      <c r="L67" s="146"/>
      <c r="M67" s="146"/>
    </row>
    <row r="68" spans="4:13" ht="13.7" customHeight="1" x14ac:dyDescent="0.2">
      <c r="D68" s="146"/>
      <c r="E68" s="146"/>
      <c r="F68" s="146"/>
      <c r="G68" s="146"/>
      <c r="H68" s="146"/>
      <c r="I68" s="146"/>
      <c r="J68" s="146"/>
      <c r="K68" s="146"/>
      <c r="L68" s="146"/>
      <c r="M68" s="146"/>
    </row>
    <row r="69" spans="4:13" ht="13.7" customHeight="1" x14ac:dyDescent="0.2">
      <c r="D69" s="146"/>
      <c r="E69" s="146"/>
      <c r="F69" s="146"/>
      <c r="G69" s="146"/>
      <c r="H69" s="146"/>
      <c r="I69" s="146"/>
      <c r="J69" s="146"/>
      <c r="K69" s="146"/>
      <c r="L69" s="146"/>
      <c r="M69" s="146"/>
    </row>
    <row r="70" spans="4:13" ht="13.7" customHeight="1" x14ac:dyDescent="0.2">
      <c r="D70" s="146"/>
      <c r="E70" s="146"/>
      <c r="F70" s="146"/>
      <c r="G70" s="146"/>
      <c r="H70" s="146"/>
      <c r="I70" s="146"/>
      <c r="J70" s="146"/>
      <c r="K70" s="146"/>
      <c r="L70" s="146"/>
      <c r="M70" s="146"/>
    </row>
    <row r="71" spans="4:13" ht="13.7" customHeight="1" x14ac:dyDescent="0.2">
      <c r="D71" s="146"/>
      <c r="E71" s="146"/>
      <c r="F71" s="146"/>
      <c r="G71" s="146"/>
      <c r="H71" s="146"/>
      <c r="I71" s="146"/>
      <c r="J71" s="146"/>
      <c r="K71" s="146"/>
      <c r="L71" s="146"/>
      <c r="M71" s="146"/>
    </row>
    <row r="72" spans="4:13" ht="13.7" customHeight="1" x14ac:dyDescent="0.2">
      <c r="D72" s="146"/>
      <c r="E72" s="146"/>
      <c r="F72" s="146"/>
      <c r="G72" s="146"/>
      <c r="H72" s="146"/>
      <c r="I72" s="146"/>
      <c r="J72" s="146"/>
      <c r="K72" s="146"/>
      <c r="L72" s="146"/>
      <c r="M72" s="146"/>
    </row>
    <row r="73" spans="4:13" ht="13.7" customHeight="1" x14ac:dyDescent="0.2">
      <c r="D73" s="146"/>
      <c r="E73" s="146"/>
      <c r="F73" s="146"/>
      <c r="G73" s="146"/>
      <c r="H73" s="146"/>
      <c r="I73" s="146"/>
      <c r="J73" s="146"/>
      <c r="K73" s="146"/>
      <c r="L73" s="146"/>
      <c r="M73" s="146"/>
    </row>
    <row r="74" spans="4:13" ht="13.7" customHeight="1" x14ac:dyDescent="0.2">
      <c r="D74" s="146"/>
      <c r="E74" s="146"/>
      <c r="F74" s="146"/>
      <c r="G74" s="146"/>
      <c r="H74" s="146"/>
      <c r="I74" s="146"/>
      <c r="J74" s="146"/>
      <c r="K74" s="146"/>
      <c r="L74" s="146"/>
      <c r="M74" s="146"/>
    </row>
    <row r="75" spans="4:13" ht="13.7" customHeight="1" x14ac:dyDescent="0.2">
      <c r="D75" s="146"/>
      <c r="E75" s="146"/>
      <c r="F75" s="146"/>
      <c r="G75" s="146"/>
      <c r="H75" s="146"/>
      <c r="I75" s="146"/>
      <c r="J75" s="146"/>
      <c r="K75" s="146"/>
      <c r="L75" s="146"/>
      <c r="M75" s="146"/>
    </row>
    <row r="76" spans="4:13" ht="13.7" customHeight="1" x14ac:dyDescent="0.2">
      <c r="D76" s="146"/>
      <c r="E76" s="146"/>
      <c r="F76" s="146"/>
      <c r="G76" s="146"/>
      <c r="H76" s="146"/>
      <c r="I76" s="146"/>
      <c r="J76" s="146"/>
      <c r="K76" s="146"/>
      <c r="L76" s="146"/>
      <c r="M76" s="146"/>
    </row>
    <row r="77" spans="4:13" ht="13.7" customHeight="1" x14ac:dyDescent="0.2">
      <c r="D77" s="146"/>
      <c r="E77" s="146"/>
      <c r="F77" s="146"/>
      <c r="G77" s="146"/>
      <c r="H77" s="146"/>
      <c r="I77" s="146"/>
      <c r="J77" s="146"/>
      <c r="K77" s="146"/>
      <c r="L77" s="146"/>
      <c r="M77" s="146"/>
    </row>
    <row r="78" spans="4:13" ht="13.7" customHeight="1" x14ac:dyDescent="0.2">
      <c r="D78" s="146"/>
      <c r="E78" s="146"/>
      <c r="F78" s="146"/>
      <c r="G78" s="146"/>
      <c r="H78" s="146"/>
      <c r="I78" s="146"/>
      <c r="J78" s="146"/>
      <c r="K78" s="146"/>
      <c r="L78" s="146"/>
      <c r="M78" s="146"/>
    </row>
    <row r="79" spans="4:13" ht="13.7" customHeight="1" x14ac:dyDescent="0.2">
      <c r="D79" s="146"/>
      <c r="E79" s="146"/>
      <c r="F79" s="146"/>
      <c r="G79" s="146"/>
      <c r="H79" s="146"/>
      <c r="I79" s="146"/>
      <c r="J79" s="146"/>
      <c r="K79" s="146"/>
      <c r="L79" s="146"/>
      <c r="M79" s="146"/>
    </row>
    <row r="80" spans="4:13" ht="13.7" customHeight="1" x14ac:dyDescent="0.2">
      <c r="D80" s="146"/>
      <c r="E80" s="146"/>
      <c r="F80" s="146"/>
      <c r="G80" s="146"/>
      <c r="H80" s="146"/>
      <c r="I80" s="146"/>
      <c r="J80" s="146"/>
      <c r="K80" s="146"/>
      <c r="L80" s="146"/>
      <c r="M80" s="146"/>
    </row>
    <row r="81" spans="4:13" ht="13.7" customHeight="1" x14ac:dyDescent="0.2">
      <c r="D81" s="146"/>
      <c r="E81" s="146"/>
      <c r="F81" s="146"/>
      <c r="G81" s="146"/>
      <c r="H81" s="146"/>
      <c r="I81" s="146"/>
      <c r="J81" s="146"/>
      <c r="K81" s="146"/>
      <c r="L81" s="146"/>
      <c r="M81" s="146"/>
    </row>
    <row r="82" spans="4:13" ht="13.7" customHeight="1" x14ac:dyDescent="0.2">
      <c r="D82" s="146"/>
      <c r="E82" s="146"/>
      <c r="F82" s="146"/>
      <c r="G82" s="146"/>
      <c r="H82" s="146"/>
      <c r="I82" s="146"/>
      <c r="J82" s="146"/>
      <c r="K82" s="146"/>
      <c r="L82" s="146"/>
      <c r="M82" s="146"/>
    </row>
    <row r="83" spans="4:13" ht="13.7" customHeight="1" x14ac:dyDescent="0.2">
      <c r="D83" s="146"/>
      <c r="E83" s="146"/>
      <c r="F83" s="146"/>
      <c r="G83" s="146"/>
      <c r="H83" s="146"/>
      <c r="I83" s="146"/>
      <c r="J83" s="146"/>
      <c r="K83" s="146"/>
      <c r="L83" s="146"/>
      <c r="M83" s="146"/>
    </row>
    <row r="84" spans="4:13" ht="13.7" customHeight="1" x14ac:dyDescent="0.2">
      <c r="D84" s="146"/>
      <c r="E84" s="146"/>
      <c r="F84" s="146"/>
      <c r="G84" s="146"/>
      <c r="H84" s="146"/>
      <c r="I84" s="146"/>
      <c r="J84" s="146"/>
      <c r="K84" s="146"/>
      <c r="L84" s="146"/>
      <c r="M84" s="146"/>
    </row>
    <row r="85" spans="4:13" ht="13.7" customHeight="1" x14ac:dyDescent="0.2">
      <c r="D85" s="146"/>
      <c r="E85" s="146"/>
      <c r="F85" s="146"/>
      <c r="G85" s="146"/>
      <c r="H85" s="146"/>
      <c r="I85" s="146"/>
      <c r="J85" s="146"/>
      <c r="K85" s="146"/>
      <c r="L85" s="146"/>
      <c r="M85" s="146"/>
    </row>
    <row r="86" spans="4:13" ht="13.7" customHeight="1" x14ac:dyDescent="0.2">
      <c r="D86" s="146"/>
      <c r="E86" s="146"/>
      <c r="F86" s="146"/>
      <c r="G86" s="146"/>
      <c r="H86" s="146"/>
      <c r="I86" s="146"/>
      <c r="J86" s="146"/>
      <c r="K86" s="146"/>
      <c r="L86" s="146"/>
      <c r="M86" s="146"/>
    </row>
    <row r="87" spans="4:13" ht="13.7" customHeight="1" x14ac:dyDescent="0.2">
      <c r="D87" s="146"/>
      <c r="E87" s="146"/>
      <c r="F87" s="146"/>
      <c r="G87" s="146"/>
      <c r="H87" s="146"/>
      <c r="I87" s="146"/>
      <c r="J87" s="146"/>
      <c r="K87" s="146"/>
      <c r="L87" s="146"/>
      <c r="M87" s="146"/>
    </row>
    <row r="88" spans="4:13" ht="13.7" customHeight="1" x14ac:dyDescent="0.2">
      <c r="D88" s="146"/>
      <c r="E88" s="146"/>
      <c r="F88" s="146"/>
      <c r="G88" s="146"/>
      <c r="H88" s="146"/>
      <c r="I88" s="146"/>
      <c r="J88" s="146"/>
      <c r="K88" s="146"/>
      <c r="L88" s="146"/>
      <c r="M88" s="146"/>
    </row>
    <row r="89" spans="4:13" ht="13.7" customHeight="1" x14ac:dyDescent="0.2">
      <c r="D89" s="146"/>
      <c r="E89" s="146"/>
      <c r="F89" s="146"/>
      <c r="G89" s="146"/>
      <c r="H89" s="146"/>
      <c r="I89" s="146"/>
      <c r="J89" s="146"/>
      <c r="K89" s="146"/>
      <c r="L89" s="146"/>
      <c r="M89" s="146"/>
    </row>
    <row r="90" spans="4:13" ht="13.7" customHeight="1" x14ac:dyDescent="0.2">
      <c r="D90" s="146"/>
      <c r="E90" s="146"/>
      <c r="F90" s="146"/>
      <c r="G90" s="146"/>
      <c r="H90" s="146"/>
      <c r="I90" s="146"/>
      <c r="J90" s="146"/>
      <c r="K90" s="146"/>
      <c r="L90" s="146"/>
      <c r="M90" s="146"/>
    </row>
    <row r="91" spans="4:13" ht="13.7" customHeight="1" x14ac:dyDescent="0.2">
      <c r="D91" s="146"/>
      <c r="E91" s="146"/>
      <c r="F91" s="146"/>
      <c r="G91" s="146"/>
      <c r="H91" s="146"/>
      <c r="I91" s="146"/>
      <c r="J91" s="146"/>
      <c r="K91" s="146"/>
      <c r="L91" s="146"/>
      <c r="M91" s="146"/>
    </row>
    <row r="92" spans="4:13" ht="13.7" customHeight="1" x14ac:dyDescent="0.2">
      <c r="D92" s="146"/>
      <c r="E92" s="146"/>
      <c r="F92" s="146"/>
      <c r="G92" s="146"/>
      <c r="H92" s="146"/>
      <c r="I92" s="146"/>
      <c r="J92" s="146"/>
      <c r="K92" s="146"/>
      <c r="L92" s="146"/>
      <c r="M92" s="146"/>
    </row>
    <row r="93" spans="4:13" ht="13.7" customHeight="1" x14ac:dyDescent="0.2">
      <c r="D93" s="146"/>
      <c r="E93" s="146"/>
      <c r="F93" s="146"/>
      <c r="G93" s="146"/>
      <c r="H93" s="146"/>
      <c r="I93" s="146"/>
      <c r="J93" s="146"/>
      <c r="K93" s="146"/>
      <c r="L93" s="146"/>
      <c r="M93" s="146"/>
    </row>
    <row r="94" spans="4:13" ht="13.7" customHeight="1" x14ac:dyDescent="0.2">
      <c r="D94" s="146"/>
      <c r="E94" s="146"/>
      <c r="F94" s="146"/>
      <c r="G94" s="146"/>
      <c r="H94" s="146"/>
      <c r="I94" s="146"/>
      <c r="J94" s="146"/>
      <c r="K94" s="146"/>
      <c r="L94" s="146"/>
      <c r="M94" s="146"/>
    </row>
    <row r="95" spans="4:13" ht="13.7" customHeight="1" x14ac:dyDescent="0.2">
      <c r="D95" s="146"/>
      <c r="E95" s="146"/>
      <c r="F95" s="146"/>
      <c r="G95" s="146"/>
      <c r="H95" s="146"/>
      <c r="I95" s="146"/>
      <c r="J95" s="146"/>
      <c r="K95" s="146"/>
      <c r="L95" s="146"/>
      <c r="M95" s="146"/>
    </row>
    <row r="96" spans="4:13" ht="13.7" customHeight="1" x14ac:dyDescent="0.2">
      <c r="D96" s="146"/>
      <c r="E96" s="146"/>
      <c r="F96" s="146"/>
      <c r="G96" s="146"/>
      <c r="H96" s="146"/>
      <c r="I96" s="146"/>
      <c r="J96" s="146"/>
      <c r="K96" s="146"/>
      <c r="L96" s="146"/>
      <c r="M96" s="146"/>
    </row>
    <row r="97" spans="4:13" ht="13.7" customHeight="1" x14ac:dyDescent="0.2">
      <c r="D97" s="146"/>
      <c r="E97" s="146"/>
      <c r="F97" s="146"/>
      <c r="G97" s="146"/>
      <c r="H97" s="146"/>
      <c r="I97" s="146"/>
      <c r="J97" s="146"/>
      <c r="K97" s="146"/>
      <c r="L97" s="146"/>
      <c r="M97" s="146"/>
    </row>
    <row r="98" spans="4:13" ht="13.7" customHeight="1" x14ac:dyDescent="0.2">
      <c r="D98" s="146"/>
      <c r="E98" s="146"/>
      <c r="F98" s="146"/>
      <c r="G98" s="146"/>
      <c r="H98" s="146"/>
      <c r="I98" s="146"/>
      <c r="J98" s="146"/>
      <c r="K98" s="146"/>
      <c r="L98" s="146"/>
      <c r="M98" s="146"/>
    </row>
    <row r="99" spans="4:13" ht="13.7" customHeight="1" x14ac:dyDescent="0.2">
      <c r="D99" s="146"/>
      <c r="E99" s="146"/>
      <c r="F99" s="146"/>
      <c r="G99" s="146"/>
      <c r="H99" s="146"/>
      <c r="I99" s="146"/>
      <c r="J99" s="146"/>
      <c r="K99" s="146"/>
      <c r="L99" s="146"/>
      <c r="M99" s="146"/>
    </row>
    <row r="100" spans="4:13" ht="13.7" customHeight="1" x14ac:dyDescent="0.2">
      <c r="D100" s="146"/>
      <c r="E100" s="146"/>
      <c r="F100" s="146"/>
      <c r="G100" s="146"/>
      <c r="H100" s="146"/>
      <c r="I100" s="146"/>
      <c r="J100" s="146"/>
      <c r="K100" s="146"/>
      <c r="L100" s="146"/>
      <c r="M100" s="146"/>
    </row>
    <row r="101" spans="4:13" ht="13.7" customHeight="1" x14ac:dyDescent="0.2">
      <c r="D101" s="146"/>
      <c r="E101" s="146"/>
      <c r="F101" s="146"/>
      <c r="G101" s="146"/>
      <c r="H101" s="146"/>
      <c r="I101" s="146"/>
      <c r="J101" s="146"/>
      <c r="K101" s="146"/>
      <c r="L101" s="146"/>
      <c r="M101" s="146"/>
    </row>
    <row r="102" spans="4:13" ht="13.7" customHeight="1" x14ac:dyDescent="0.2">
      <c r="D102" s="146"/>
      <c r="E102" s="146"/>
      <c r="F102" s="146"/>
      <c r="G102" s="146"/>
      <c r="H102" s="146"/>
      <c r="I102" s="146"/>
      <c r="J102" s="146"/>
      <c r="K102" s="146"/>
      <c r="L102" s="146"/>
      <c r="M102" s="146"/>
    </row>
    <row r="103" spans="4:13" ht="13.7" customHeight="1" x14ac:dyDescent="0.2">
      <c r="D103" s="146"/>
      <c r="E103" s="146"/>
      <c r="F103" s="146"/>
      <c r="G103" s="146"/>
      <c r="H103" s="146"/>
      <c r="I103" s="146"/>
      <c r="J103" s="146"/>
      <c r="K103" s="146"/>
      <c r="L103" s="146"/>
      <c r="M103" s="146"/>
    </row>
    <row r="104" spans="4:13" ht="13.7" customHeight="1" x14ac:dyDescent="0.2">
      <c r="D104" s="146"/>
      <c r="E104" s="146"/>
      <c r="F104" s="146"/>
      <c r="G104" s="146"/>
      <c r="H104" s="146"/>
      <c r="I104" s="146"/>
      <c r="J104" s="146"/>
      <c r="K104" s="146"/>
      <c r="L104" s="146"/>
      <c r="M104" s="146"/>
    </row>
    <row r="105" spans="4:13" ht="13.7" customHeight="1" x14ac:dyDescent="0.2">
      <c r="D105" s="146"/>
      <c r="E105" s="146"/>
      <c r="F105" s="146"/>
      <c r="G105" s="146"/>
      <c r="H105" s="146"/>
      <c r="I105" s="146"/>
      <c r="J105" s="146"/>
      <c r="K105" s="146"/>
      <c r="L105" s="146"/>
      <c r="M105" s="146"/>
    </row>
  </sheetData>
  <sheetProtection password="8677" sheet="1" objects="1" scenarios="1"/>
  <printOptions horizontalCentered="1" verticalCentered="1"/>
  <pageMargins left="0.78740157480314965" right="0.59055118110236227" top="0.39370078740157483" bottom="0.39370078740157483" header="0" footer="0.11811023622047245"/>
  <pageSetup paperSize="9" scale="94" fitToHeight="2" orientation="landscape" horizontalDpi="1200" verticalDpi="1200" r:id="rId1"/>
  <headerFooter alignWithMargins="0">
    <oddFooter>&amp;L&amp;8LEL / LTZ / LAZBW / LWA-DS&amp;C&amp;8&amp;F  &amp;A&amp;R&amp;8&amp;D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6" tint="0.79998168889431442"/>
  </sheetPr>
  <dimension ref="A1:AK46"/>
  <sheetViews>
    <sheetView zoomScaleNormal="100" workbookViewId="0">
      <pane ySplit="10" topLeftCell="A11" activePane="bottomLeft" state="frozen"/>
      <selection activeCell="A173" sqref="A173"/>
      <selection pane="bottomLeft" activeCell="A173" sqref="A173"/>
    </sheetView>
  </sheetViews>
  <sheetFormatPr baseColWidth="10" defaultColWidth="11.25" defaultRowHeight="12.75" x14ac:dyDescent="0.2"/>
  <cols>
    <col min="1" max="1" width="2.75" style="760" customWidth="1"/>
    <col min="2" max="2" width="4" style="760" customWidth="1"/>
    <col min="3" max="3" width="13.5" style="772" bestFit="1" customWidth="1"/>
    <col min="4" max="4" width="16.875" style="760" customWidth="1"/>
    <col min="5" max="5" width="11.25" style="760"/>
    <col min="6" max="6" width="3.125" style="760" customWidth="1"/>
    <col min="7" max="7" width="3.375" style="760" customWidth="1"/>
    <col min="8" max="8" width="5" style="760" customWidth="1"/>
    <col min="9" max="9" width="23.5" style="760" customWidth="1"/>
    <col min="10" max="10" width="7.125" style="760" customWidth="1"/>
    <col min="11" max="11" width="22.5" style="760" customWidth="1"/>
    <col min="12" max="14" width="11.25" style="760"/>
    <col min="15" max="15" width="11.25" style="762"/>
    <col min="16" max="17" width="11.25" style="760"/>
    <col min="18" max="18" width="7.875" style="760" customWidth="1"/>
    <col min="19" max="19" width="19.5" style="760" customWidth="1"/>
    <col min="20" max="20" width="23.875" style="760" customWidth="1"/>
    <col min="21" max="16384" width="11.25" style="760"/>
  </cols>
  <sheetData>
    <row r="1" spans="1:37" s="146" customFormat="1" ht="15" x14ac:dyDescent="0.25">
      <c r="B1" s="22"/>
      <c r="C1" s="576"/>
      <c r="D1" s="663" t="str">
        <f>Startmenue!G2</f>
        <v>Version 1.2</v>
      </c>
      <c r="G1" s="576"/>
      <c r="U1" s="576"/>
      <c r="Z1" s="595"/>
      <c r="AE1" s="576"/>
      <c r="AJ1" s="576"/>
      <c r="AK1" s="597"/>
    </row>
    <row r="2" spans="1:37" s="1217" customFormat="1" ht="11.25" x14ac:dyDescent="0.2">
      <c r="B2" s="680">
        <f>COLUMNS($B$2:B2)</f>
        <v>1</v>
      </c>
      <c r="C2" s="680">
        <f>COLUMNS($B$2:C2)</f>
        <v>2</v>
      </c>
      <c r="D2" s="680">
        <f>COLUMNS($B$2:D2)</f>
        <v>3</v>
      </c>
      <c r="E2" s="680">
        <f>COLUMNS($B$2:E2)</f>
        <v>4</v>
      </c>
      <c r="I2" s="680">
        <f>COLUMNS($I$2:I2)</f>
        <v>1</v>
      </c>
      <c r="J2" s="680">
        <f>COLUMNS($I$2:J2)</f>
        <v>2</v>
      </c>
      <c r="K2" s="680">
        <f>COLUMNS($I$2:K2)</f>
        <v>3</v>
      </c>
      <c r="L2" s="680">
        <f>COLUMNS($I$2:L2)</f>
        <v>4</v>
      </c>
      <c r="O2" s="680">
        <f>COLUMNS($O$2:O2)</f>
        <v>1</v>
      </c>
      <c r="P2" s="680">
        <f>COLUMNS($O$2:P2)</f>
        <v>2</v>
      </c>
      <c r="Q2" s="680">
        <f>COLUMNS($O$2:Q2)</f>
        <v>3</v>
      </c>
      <c r="R2" s="680">
        <f>COLUMNS($O$2:R2)</f>
        <v>4</v>
      </c>
      <c r="S2" s="680">
        <f>COLUMNS($O$2:S2)</f>
        <v>5</v>
      </c>
    </row>
    <row r="3" spans="1:37" ht="14.25" x14ac:dyDescent="0.2">
      <c r="B3" s="575" t="s">
        <v>4368</v>
      </c>
      <c r="C3" s="761"/>
      <c r="D3" s="1218" t="s">
        <v>4409</v>
      </c>
      <c r="K3" s="761"/>
      <c r="L3" s="761"/>
      <c r="O3" s="761"/>
      <c r="P3" s="761"/>
      <c r="Q3" s="761"/>
      <c r="R3" s="761"/>
      <c r="S3" s="761"/>
    </row>
    <row r="4" spans="1:37" ht="14.25" x14ac:dyDescent="0.2">
      <c r="B4" s="481" t="s">
        <v>4369</v>
      </c>
      <c r="C4" s="761"/>
      <c r="D4" s="1218" t="s">
        <v>4604</v>
      </c>
      <c r="K4" s="761"/>
      <c r="L4" s="761"/>
      <c r="O4" s="761"/>
      <c r="P4" s="761"/>
      <c r="Q4" s="761"/>
      <c r="R4" s="761"/>
      <c r="S4" s="761"/>
    </row>
    <row r="5" spans="1:37" ht="13.7" x14ac:dyDescent="0.2">
      <c r="B5" s="761"/>
      <c r="C5" s="761"/>
      <c r="D5" s="1218" t="s">
        <v>4605</v>
      </c>
      <c r="K5" s="761"/>
      <c r="L5" s="761"/>
      <c r="O5" s="761"/>
      <c r="P5" s="761"/>
      <c r="Q5" s="761"/>
      <c r="R5" s="761"/>
      <c r="S5" s="761"/>
    </row>
    <row r="6" spans="1:37" ht="0.75" customHeight="1" x14ac:dyDescent="0.2">
      <c r="B6" s="761"/>
      <c r="C6" s="761"/>
      <c r="K6" s="761"/>
      <c r="L6" s="761"/>
      <c r="O6" s="761"/>
      <c r="P6" s="761"/>
      <c r="Q6" s="761"/>
      <c r="R6" s="761"/>
      <c r="S6" s="761"/>
    </row>
    <row r="7" spans="1:37" ht="0.75" customHeight="1" x14ac:dyDescent="0.2">
      <c r="B7" s="761"/>
      <c r="C7" s="761"/>
      <c r="K7" s="761"/>
      <c r="L7" s="761"/>
      <c r="O7" s="761"/>
      <c r="P7" s="761"/>
      <c r="Q7" s="761"/>
      <c r="R7" s="761"/>
      <c r="S7" s="761"/>
    </row>
    <row r="8" spans="1:37" ht="0.75" customHeight="1" x14ac:dyDescent="0.2">
      <c r="B8" s="777"/>
      <c r="C8" s="777"/>
      <c r="D8" s="777"/>
      <c r="E8" s="777"/>
      <c r="F8" s="777"/>
      <c r="G8" s="777"/>
      <c r="H8" s="777"/>
      <c r="I8" s="777"/>
      <c r="J8" s="777"/>
      <c r="K8" s="777"/>
      <c r="L8" s="778"/>
      <c r="M8" s="777"/>
      <c r="N8" s="777"/>
      <c r="O8" s="778"/>
      <c r="P8" s="777"/>
      <c r="Q8" s="777"/>
      <c r="R8" s="777"/>
      <c r="S8" s="777"/>
    </row>
    <row r="9" spans="1:37" s="1225" customFormat="1" ht="13.7" x14ac:dyDescent="0.2">
      <c r="A9" s="947"/>
      <c r="B9" s="1219" t="s">
        <v>3512</v>
      </c>
      <c r="C9" s="1220" t="s">
        <v>12</v>
      </c>
      <c r="D9" s="1220"/>
      <c r="E9" s="1220" t="s">
        <v>3307</v>
      </c>
      <c r="F9" s="1220"/>
      <c r="G9" s="1220"/>
      <c r="H9" s="1220"/>
      <c r="I9" s="1220" t="s">
        <v>3509</v>
      </c>
      <c r="J9" s="1220"/>
      <c r="K9" s="1220"/>
      <c r="L9" s="1221" t="s">
        <v>3510</v>
      </c>
      <c r="M9" s="1219"/>
      <c r="N9" s="1220"/>
      <c r="O9" s="1222"/>
      <c r="P9" s="1220" t="s">
        <v>3511</v>
      </c>
      <c r="Q9" s="1220"/>
      <c r="R9" s="1220"/>
      <c r="S9" s="1223" t="s">
        <v>3555</v>
      </c>
      <c r="T9" s="1224"/>
    </row>
    <row r="10" spans="1:37" s="1225" customFormat="1" ht="13.7" x14ac:dyDescent="0.2">
      <c r="A10" s="947"/>
      <c r="B10" s="1233"/>
      <c r="L10" s="1234" t="s">
        <v>30</v>
      </c>
      <c r="M10" s="1233"/>
      <c r="O10" s="1235"/>
      <c r="S10" s="1236"/>
      <c r="T10" s="1224"/>
    </row>
    <row r="11" spans="1:37" ht="0.75" customHeight="1" x14ac:dyDescent="0.2">
      <c r="A11" s="12"/>
      <c r="B11" s="784"/>
      <c r="C11" s="760"/>
      <c r="L11" s="786"/>
      <c r="M11" s="784"/>
      <c r="S11" s="794"/>
      <c r="T11" s="776"/>
    </row>
    <row r="12" spans="1:37" ht="0.75" customHeight="1" x14ac:dyDescent="0.2">
      <c r="A12" s="12"/>
      <c r="B12" s="784"/>
      <c r="C12" s="760"/>
      <c r="L12" s="786"/>
      <c r="M12" s="784"/>
      <c r="S12" s="794"/>
      <c r="T12" s="776"/>
    </row>
    <row r="13" spans="1:37" ht="14.25" x14ac:dyDescent="0.2">
      <c r="A13" s="12"/>
      <c r="B13" s="820">
        <v>1</v>
      </c>
      <c r="C13" s="760"/>
      <c r="H13" s="817">
        <v>1</v>
      </c>
      <c r="K13" s="760">
        <v>0</v>
      </c>
      <c r="L13" s="786"/>
      <c r="M13" s="784"/>
      <c r="O13" s="680">
        <v>1</v>
      </c>
      <c r="P13" s="760" t="s">
        <v>3494</v>
      </c>
      <c r="S13" s="794"/>
      <c r="T13" s="776"/>
    </row>
    <row r="14" spans="1:37" ht="21.75" customHeight="1" x14ac:dyDescent="0.2">
      <c r="A14" s="12"/>
      <c r="B14" s="820">
        <f>Kulturen!E96</f>
        <v>2</v>
      </c>
      <c r="C14" s="760" t="str">
        <f>Kulturen!F96</f>
        <v>Grünland 1 Schnitt</v>
      </c>
      <c r="E14" s="760" t="s">
        <v>3311</v>
      </c>
      <c r="F14" s="763"/>
      <c r="G14" s="763"/>
      <c r="H14" s="817">
        <v>2</v>
      </c>
      <c r="I14" s="764" t="s">
        <v>3496</v>
      </c>
      <c r="J14" s="765" t="s">
        <v>3544</v>
      </c>
      <c r="K14" s="766" t="str">
        <f>H14&amp;I14</f>
        <v>2Grünland: 0 bis 10 %</v>
      </c>
      <c r="L14" s="785">
        <v>20</v>
      </c>
      <c r="M14" s="784"/>
      <c r="O14" s="680">
        <v>2</v>
      </c>
      <c r="P14" s="767">
        <f>IF($B$42=15,I35,IF($B$42&gt;$B$23,I26,IF($B$42&gt;$B$13,I14,H25)))</f>
        <v>1</v>
      </c>
      <c r="Q14" s="760" t="str">
        <f>O14&amp;P14</f>
        <v>21</v>
      </c>
      <c r="S14" s="795" t="str">
        <f>IF(ISERROR(VLOOKUP(P14,$I$14:$K$35,2,FALSE))=TRUE,"",VLOOKUP(P14,$I$14:$K$35,2,FALSE))</f>
        <v/>
      </c>
      <c r="T14" s="776"/>
    </row>
    <row r="15" spans="1:37" ht="21.75" customHeight="1" x14ac:dyDescent="0.2">
      <c r="A15" s="12"/>
      <c r="B15" s="820">
        <f>Kulturen!E97</f>
        <v>3</v>
      </c>
      <c r="C15" s="760" t="str">
        <f>Kulturen!F97</f>
        <v>Grünland 2 Schnitte</v>
      </c>
      <c r="E15" s="760" t="str">
        <f>E14</f>
        <v>Grünland</v>
      </c>
      <c r="H15" s="817">
        <v>3</v>
      </c>
      <c r="I15" s="764" t="s">
        <v>3497</v>
      </c>
      <c r="J15" s="765" t="s">
        <v>3545</v>
      </c>
      <c r="K15" s="766" t="str">
        <f t="shared" ref="K15:K36" si="0">H15&amp;I15</f>
        <v>3Grünland: 11 – 20 %</v>
      </c>
      <c r="L15" s="785">
        <v>40</v>
      </c>
      <c r="M15" s="784"/>
      <c r="O15" s="680">
        <v>3</v>
      </c>
      <c r="P15" s="767">
        <f>IF($B$42=15,,IF($B$42&gt;$B$23,I27,IF($B$42&gt;$B$13,I15,H26)))</f>
        <v>2</v>
      </c>
      <c r="Q15" s="760" t="str">
        <f>O15&amp;P15</f>
        <v>32</v>
      </c>
      <c r="S15" s="795" t="str">
        <f>IF(ISERROR(VLOOKUP(P15,$I$14:$K$35,2,FALSE))=TRUE,"",VLOOKUP(P15,$I$14:$K$35,2,FALSE))</f>
        <v/>
      </c>
      <c r="T15" s="776"/>
    </row>
    <row r="16" spans="1:37" ht="21.75" customHeight="1" x14ac:dyDescent="0.2">
      <c r="A16" s="12"/>
      <c r="B16" s="820">
        <f>Kulturen!E98</f>
        <v>4</v>
      </c>
      <c r="C16" s="760" t="str">
        <f>Kulturen!F98</f>
        <v>Grünland 3 Schnitte</v>
      </c>
      <c r="E16" s="760" t="str">
        <f t="shared" ref="E16:E23" si="1">E15</f>
        <v>Grünland</v>
      </c>
      <c r="H16" s="817">
        <v>4</v>
      </c>
      <c r="I16" s="764" t="s">
        <v>3495</v>
      </c>
      <c r="J16" s="765" t="s">
        <v>4337</v>
      </c>
      <c r="K16" s="766" t="str">
        <f t="shared" si="0"/>
        <v>4Grünland: größer 20 %</v>
      </c>
      <c r="L16" s="785">
        <v>60</v>
      </c>
      <c r="M16" s="784"/>
      <c r="O16" s="680">
        <v>4</v>
      </c>
      <c r="P16" s="767">
        <f t="shared" ref="P16:P23" si="2">IF($B$42=15,,IF($B$42&gt;$B$23,I28,IF($B$42&gt;$B$13,I16,H27)))</f>
        <v>3</v>
      </c>
      <c r="Q16" s="760" t="str">
        <f t="shared" ref="Q16:Q23" si="3">O16&amp;P16</f>
        <v>43</v>
      </c>
      <c r="S16" s="795" t="str">
        <f t="shared" ref="S16:S23" si="4">IF(ISERROR(VLOOKUP(P16,$I$14:$K$35,2,FALSE))=TRUE,"",VLOOKUP(P16,$I$14:$K$35,2,FALSE))</f>
        <v/>
      </c>
      <c r="T16" s="776"/>
    </row>
    <row r="17" spans="1:20" ht="14.25" x14ac:dyDescent="0.2">
      <c r="A17" s="12"/>
      <c r="B17" s="820">
        <f>Kulturen!E99</f>
        <v>5</v>
      </c>
      <c r="C17" s="760" t="str">
        <f>Kulturen!F99</f>
        <v>Grünland 4 Schnitte</v>
      </c>
      <c r="E17" s="760" t="str">
        <f t="shared" si="1"/>
        <v>Grünland</v>
      </c>
      <c r="H17" s="817">
        <v>5</v>
      </c>
      <c r="I17" s="764" t="str">
        <f>""</f>
        <v/>
      </c>
      <c r="J17" s="765"/>
      <c r="K17" s="766" t="str">
        <f t="shared" si="0"/>
        <v>5</v>
      </c>
      <c r="L17" s="785"/>
      <c r="M17" s="784"/>
      <c r="O17" s="680">
        <v>5</v>
      </c>
      <c r="P17" s="767">
        <f t="shared" si="2"/>
        <v>4</v>
      </c>
      <c r="Q17" s="760" t="str">
        <f t="shared" si="3"/>
        <v>54</v>
      </c>
      <c r="S17" s="795" t="str">
        <f t="shared" si="4"/>
        <v/>
      </c>
      <c r="T17" s="776"/>
    </row>
    <row r="18" spans="1:20" ht="14.25" x14ac:dyDescent="0.2">
      <c r="A18" s="12"/>
      <c r="B18" s="820">
        <f>Kulturen!E100</f>
        <v>6</v>
      </c>
      <c r="C18" s="760" t="str">
        <f>Kulturen!F100</f>
        <v>Grünland 5 Schnitte</v>
      </c>
      <c r="E18" s="760" t="str">
        <f t="shared" si="1"/>
        <v>Grünland</v>
      </c>
      <c r="H18" s="817">
        <v>6</v>
      </c>
      <c r="I18" s="764" t="str">
        <f>""</f>
        <v/>
      </c>
      <c r="J18" s="765"/>
      <c r="K18" s="766" t="str">
        <f t="shared" si="0"/>
        <v>6</v>
      </c>
      <c r="L18" s="785"/>
      <c r="M18" s="784"/>
      <c r="O18" s="680">
        <v>6</v>
      </c>
      <c r="P18" s="767">
        <f t="shared" si="2"/>
        <v>5</v>
      </c>
      <c r="Q18" s="760" t="str">
        <f t="shared" si="3"/>
        <v>65</v>
      </c>
      <c r="S18" s="795" t="str">
        <f t="shared" si="4"/>
        <v/>
      </c>
      <c r="T18" s="776"/>
    </row>
    <row r="19" spans="1:20" ht="14.25" x14ac:dyDescent="0.2">
      <c r="A19" s="12"/>
      <c r="B19" s="820">
        <f>Kulturen!E101</f>
        <v>7</v>
      </c>
      <c r="C19" s="760" t="str">
        <f>Kulturen!F101</f>
        <v>Grünland 6 Schnitte</v>
      </c>
      <c r="E19" s="760" t="str">
        <f t="shared" si="1"/>
        <v>Grünland</v>
      </c>
      <c r="H19" s="817">
        <v>7</v>
      </c>
      <c r="I19" s="764" t="str">
        <f>""</f>
        <v/>
      </c>
      <c r="J19" s="765"/>
      <c r="K19" s="766" t="str">
        <f t="shared" si="0"/>
        <v>7</v>
      </c>
      <c r="L19" s="785"/>
      <c r="M19" s="784"/>
      <c r="O19" s="680">
        <v>7</v>
      </c>
      <c r="P19" s="767">
        <f t="shared" si="2"/>
        <v>6</v>
      </c>
      <c r="Q19" s="760" t="str">
        <f t="shared" si="3"/>
        <v>76</v>
      </c>
      <c r="S19" s="795" t="str">
        <f t="shared" si="4"/>
        <v/>
      </c>
      <c r="T19" s="776"/>
    </row>
    <row r="20" spans="1:20" ht="14.25" x14ac:dyDescent="0.2">
      <c r="A20" s="12"/>
      <c r="B20" s="820">
        <f>Kulturen!E102</f>
        <v>8</v>
      </c>
      <c r="C20" s="760" t="str">
        <f>Kulturen!F102</f>
        <v>Weide intensiv</v>
      </c>
      <c r="E20" s="760" t="str">
        <f t="shared" si="1"/>
        <v>Grünland</v>
      </c>
      <c r="H20" s="817">
        <v>8</v>
      </c>
      <c r="I20" s="764" t="str">
        <f>""</f>
        <v/>
      </c>
      <c r="J20" s="765"/>
      <c r="K20" s="766" t="str">
        <f t="shared" si="0"/>
        <v>8</v>
      </c>
      <c r="L20" s="785"/>
      <c r="M20" s="784"/>
      <c r="O20" s="680">
        <v>8</v>
      </c>
      <c r="P20" s="767">
        <f t="shared" si="2"/>
        <v>7</v>
      </c>
      <c r="Q20" s="760" t="str">
        <f t="shared" si="3"/>
        <v>87</v>
      </c>
      <c r="S20" s="795" t="str">
        <f t="shared" si="4"/>
        <v/>
      </c>
      <c r="T20" s="776"/>
    </row>
    <row r="21" spans="1:20" ht="14.25" x14ac:dyDescent="0.2">
      <c r="A21" s="12"/>
      <c r="B21" s="820">
        <f>Kulturen!E103</f>
        <v>9</v>
      </c>
      <c r="C21" s="760" t="str">
        <f>Kulturen!F103</f>
        <v>Mähweide, 60% Weideanteil</v>
      </c>
      <c r="E21" s="760" t="str">
        <f t="shared" si="1"/>
        <v>Grünland</v>
      </c>
      <c r="H21" s="817">
        <v>9</v>
      </c>
      <c r="I21" s="764" t="str">
        <f>""</f>
        <v/>
      </c>
      <c r="J21" s="765"/>
      <c r="K21" s="766" t="str">
        <f t="shared" si="0"/>
        <v>9</v>
      </c>
      <c r="L21" s="785"/>
      <c r="M21" s="784"/>
      <c r="O21" s="680">
        <v>9</v>
      </c>
      <c r="P21" s="767">
        <f t="shared" si="2"/>
        <v>8</v>
      </c>
      <c r="Q21" s="760" t="str">
        <f t="shared" si="3"/>
        <v>98</v>
      </c>
      <c r="S21" s="795" t="str">
        <f t="shared" si="4"/>
        <v/>
      </c>
      <c r="T21" s="776"/>
    </row>
    <row r="22" spans="1:20" ht="14.25" x14ac:dyDescent="0.2">
      <c r="A22" s="12"/>
      <c r="B22" s="820">
        <f>Kulturen!E104</f>
        <v>10</v>
      </c>
      <c r="C22" s="760" t="str">
        <f>Kulturen!F104</f>
        <v>Mähweide, 20% Weideanteil</v>
      </c>
      <c r="E22" s="760" t="str">
        <f t="shared" si="1"/>
        <v>Grünland</v>
      </c>
      <c r="H22" s="817">
        <v>10</v>
      </c>
      <c r="I22" s="764" t="str">
        <f>""</f>
        <v/>
      </c>
      <c r="J22" s="765"/>
      <c r="K22" s="766" t="str">
        <f t="shared" si="0"/>
        <v>10</v>
      </c>
      <c r="L22" s="785"/>
      <c r="M22" s="784"/>
      <c r="O22" s="680">
        <v>10</v>
      </c>
      <c r="P22" s="767">
        <f t="shared" si="2"/>
        <v>9</v>
      </c>
      <c r="Q22" s="760" t="str">
        <f t="shared" si="3"/>
        <v>109</v>
      </c>
      <c r="S22" s="795" t="str">
        <f t="shared" si="4"/>
        <v/>
      </c>
      <c r="T22" s="776"/>
    </row>
    <row r="23" spans="1:20" ht="14.25" x14ac:dyDescent="0.2">
      <c r="A23" s="12"/>
      <c r="B23" s="820">
        <f>Kulturen!E105</f>
        <v>11</v>
      </c>
      <c r="C23" s="760" t="str">
        <f>Kulturen!F105</f>
        <v>Weide extensiv</v>
      </c>
      <c r="E23" s="760" t="str">
        <f t="shared" si="1"/>
        <v>Grünland</v>
      </c>
      <c r="H23" s="817">
        <v>11</v>
      </c>
      <c r="I23" s="764" t="str">
        <f>""</f>
        <v/>
      </c>
      <c r="J23" s="765"/>
      <c r="K23" s="766" t="str">
        <f t="shared" si="0"/>
        <v>11</v>
      </c>
      <c r="L23" s="785"/>
      <c r="M23" s="784"/>
      <c r="O23" s="680">
        <v>11</v>
      </c>
      <c r="P23" s="767">
        <f t="shared" si="2"/>
        <v>10</v>
      </c>
      <c r="Q23" s="760" t="str">
        <f t="shared" si="3"/>
        <v>1110</v>
      </c>
      <c r="S23" s="795" t="str">
        <f t="shared" si="4"/>
        <v/>
      </c>
      <c r="T23" s="776"/>
    </row>
    <row r="24" spans="1:20" ht="14.25" x14ac:dyDescent="0.2">
      <c r="A24" s="12"/>
      <c r="B24" s="820"/>
      <c r="C24" s="760"/>
      <c r="H24" s="817">
        <v>12</v>
      </c>
      <c r="I24" s="764" t="str">
        <f>""</f>
        <v/>
      </c>
      <c r="J24" s="765"/>
      <c r="K24" s="766" t="str">
        <f t="shared" si="0"/>
        <v>12</v>
      </c>
      <c r="L24" s="785"/>
      <c r="M24" s="784"/>
      <c r="O24" s="1228"/>
      <c r="P24" s="767"/>
      <c r="Q24" s="1032"/>
      <c r="R24" s="1032"/>
      <c r="S24" s="795"/>
      <c r="T24" s="776"/>
    </row>
    <row r="25" spans="1:20" ht="14.25" x14ac:dyDescent="0.2">
      <c r="A25" s="12"/>
      <c r="B25" s="820"/>
      <c r="C25" s="760"/>
      <c r="H25" s="817">
        <v>1</v>
      </c>
      <c r="I25" s="768"/>
      <c r="J25" s="769"/>
      <c r="K25" s="769" t="str">
        <f t="shared" si="0"/>
        <v>1</v>
      </c>
      <c r="L25" s="787"/>
      <c r="M25" s="796"/>
      <c r="N25" s="768"/>
      <c r="O25" s="769"/>
      <c r="S25" s="794"/>
      <c r="T25" s="776"/>
    </row>
    <row r="26" spans="1:20" ht="16.350000000000001" customHeight="1" x14ac:dyDescent="0.2">
      <c r="A26" s="12"/>
      <c r="B26" s="820">
        <f>Kulturen!E106</f>
        <v>12</v>
      </c>
      <c r="C26" s="760" t="str">
        <f>Kulturen!F106</f>
        <v>Ackergras (5 Schnitte/Jahr)</v>
      </c>
      <c r="E26" s="760" t="s">
        <v>3317</v>
      </c>
      <c r="F26" s="763"/>
      <c r="G26" s="763"/>
      <c r="H26" s="817">
        <v>2</v>
      </c>
      <c r="I26" s="770" t="s">
        <v>3507</v>
      </c>
      <c r="J26" s="771" t="s">
        <v>3546</v>
      </c>
      <c r="K26" s="766" t="str">
        <f t="shared" si="0"/>
        <v>2Klee-/Luzernegras unter 10 %</v>
      </c>
      <c r="L26" s="786">
        <v>0</v>
      </c>
      <c r="M26" s="784"/>
      <c r="N26" s="760" t="s">
        <v>4731</v>
      </c>
      <c r="O26" s="762">
        <f>IF(B42=15,1,IF(B42&gt;B23,10,3))</f>
        <v>3</v>
      </c>
      <c r="P26" s="760">
        <f ca="1">OFFSET($P$13,Nach_Leg_bis,0,1,1)</f>
        <v>3</v>
      </c>
      <c r="S26" s="794"/>
      <c r="T26" s="776"/>
    </row>
    <row r="27" spans="1:20" ht="16.350000000000001" customHeight="1" x14ac:dyDescent="0.2">
      <c r="A27" s="12"/>
      <c r="B27" s="820">
        <f>Kulturen!E107</f>
        <v>13</v>
      </c>
      <c r="C27" s="760" t="str">
        <f>Kulturen!F107</f>
        <v>Ackergras (3 - 4 Schnitte/Jahr)</v>
      </c>
      <c r="E27" s="760" t="str">
        <f>E26</f>
        <v>Feldfutterbau</v>
      </c>
      <c r="H27" s="817">
        <v>3</v>
      </c>
      <c r="I27" s="770" t="s">
        <v>3498</v>
      </c>
      <c r="J27" s="771" t="s">
        <v>3547</v>
      </c>
      <c r="K27" s="766" t="str">
        <f t="shared" si="0"/>
        <v>3Klee-/Luzernegras: 10 - 20 %</v>
      </c>
      <c r="L27" s="786">
        <v>30</v>
      </c>
      <c r="M27" s="790"/>
      <c r="N27" s="777" t="s">
        <v>4159</v>
      </c>
      <c r="O27" s="778">
        <v>0</v>
      </c>
      <c r="P27" s="777" t="str">
        <f ca="1">OFFSET($P$13,Nach_Leg_von,0,1,1)</f>
        <v>auswählen !</v>
      </c>
      <c r="Q27" s="777"/>
      <c r="R27" s="777"/>
      <c r="S27" s="800"/>
      <c r="T27" s="776"/>
    </row>
    <row r="28" spans="1:20" ht="16.350000000000001" customHeight="1" x14ac:dyDescent="0.2">
      <c r="A28" s="12"/>
      <c r="B28" s="820">
        <f>Kulturen!E108</f>
        <v>14</v>
      </c>
      <c r="C28" s="760" t="str">
        <f>Kulturen!F108</f>
        <v>Klee-/Luzernegras (3 – 4 Schnitte/Jahr)</v>
      </c>
      <c r="E28" s="760" t="str">
        <f t="shared" ref="E28:E36" si="5">E27</f>
        <v>Feldfutterbau</v>
      </c>
      <c r="H28" s="817">
        <v>4</v>
      </c>
      <c r="I28" s="770" t="s">
        <v>3499</v>
      </c>
      <c r="J28" s="771" t="s">
        <v>3548</v>
      </c>
      <c r="K28" s="766" t="str">
        <f t="shared" si="0"/>
        <v>4Klee-/Luzernegras: 21 - 30 %</v>
      </c>
      <c r="L28" s="786">
        <v>60</v>
      </c>
      <c r="M28" s="781"/>
      <c r="N28" s="782"/>
      <c r="O28" s="792" t="s">
        <v>3513</v>
      </c>
      <c r="P28" s="782"/>
      <c r="Q28" s="782"/>
      <c r="R28" s="782"/>
      <c r="S28" s="793"/>
      <c r="T28" s="776"/>
    </row>
    <row r="29" spans="1:20" ht="16.350000000000001" customHeight="1" x14ac:dyDescent="0.2">
      <c r="A29" s="775"/>
      <c r="B29" s="820"/>
      <c r="C29" s="760"/>
      <c r="E29" s="760" t="str">
        <f t="shared" si="5"/>
        <v>Feldfutterbau</v>
      </c>
      <c r="H29" s="817">
        <v>5</v>
      </c>
      <c r="I29" s="770" t="s">
        <v>3500</v>
      </c>
      <c r="J29" s="771" t="s">
        <v>3549</v>
      </c>
      <c r="K29" s="766" t="str">
        <f t="shared" si="0"/>
        <v>5Klee-/Luzernegras: 31 - 40 %</v>
      </c>
      <c r="L29" s="786">
        <v>90</v>
      </c>
      <c r="M29" s="797"/>
      <c r="N29" s="805" t="s">
        <v>12</v>
      </c>
      <c r="O29" s="1229">
        <f>GL_Eingabe!M23</f>
        <v>1</v>
      </c>
      <c r="P29" s="1230" t="str">
        <f>VLOOKUP($O$29,$O$13:$Q$24,$P$2,FALSE)</f>
        <v>auswählen !</v>
      </c>
      <c r="Q29" s="788"/>
      <c r="R29" s="798" t="s">
        <v>3459</v>
      </c>
      <c r="S29" s="1231">
        <f>VLOOKUP($O$29,$O$13:$S$24,$S$2,FALSE)</f>
        <v>0</v>
      </c>
      <c r="T29" s="776"/>
    </row>
    <row r="30" spans="1:20" ht="16.350000000000001" customHeight="1" x14ac:dyDescent="0.2">
      <c r="A30" s="775"/>
      <c r="B30" s="820"/>
      <c r="C30" s="760"/>
      <c r="E30" s="760" t="str">
        <f t="shared" si="5"/>
        <v>Feldfutterbau</v>
      </c>
      <c r="H30" s="817">
        <v>6</v>
      </c>
      <c r="I30" s="770" t="s">
        <v>3501</v>
      </c>
      <c r="J30" s="771" t="s">
        <v>3550</v>
      </c>
      <c r="K30" s="766" t="str">
        <f t="shared" si="0"/>
        <v xml:space="preserve">6Klee-/Luzernegras: 41 - 50 % </v>
      </c>
      <c r="L30" s="786">
        <v>120</v>
      </c>
      <c r="M30" s="801"/>
      <c r="N30" s="779"/>
      <c r="O30" s="802"/>
      <c r="P30" s="803"/>
      <c r="Q30" s="779"/>
      <c r="R30" s="779"/>
      <c r="S30" s="804"/>
      <c r="T30" s="776"/>
    </row>
    <row r="31" spans="1:20" ht="16.350000000000001" customHeight="1" x14ac:dyDescent="0.2">
      <c r="A31" s="775"/>
      <c r="B31" s="820"/>
      <c r="C31" s="760"/>
      <c r="E31" s="760" t="str">
        <f t="shared" si="5"/>
        <v>Feldfutterbau</v>
      </c>
      <c r="H31" s="817">
        <v>7</v>
      </c>
      <c r="I31" s="770" t="s">
        <v>3502</v>
      </c>
      <c r="J31" s="771" t="s">
        <v>3551</v>
      </c>
      <c r="K31" s="766" t="str">
        <f t="shared" si="0"/>
        <v xml:space="preserve">7Klee-/Luzernegras: 51 - 60 % </v>
      </c>
      <c r="L31" s="786">
        <v>150</v>
      </c>
      <c r="M31" s="784"/>
      <c r="S31" s="794"/>
      <c r="T31" s="776"/>
    </row>
    <row r="32" spans="1:20" ht="16.350000000000001" customHeight="1" x14ac:dyDescent="0.2">
      <c r="A32" s="775"/>
      <c r="B32" s="820"/>
      <c r="C32" s="760"/>
      <c r="E32" s="760" t="str">
        <f t="shared" si="5"/>
        <v>Feldfutterbau</v>
      </c>
      <c r="H32" s="817">
        <v>8</v>
      </c>
      <c r="I32" s="770" t="s">
        <v>3503</v>
      </c>
      <c r="J32" s="771" t="s">
        <v>3552</v>
      </c>
      <c r="K32" s="766" t="str">
        <f t="shared" si="0"/>
        <v>8Klee-/Luzernegras: 61 - 70 %</v>
      </c>
      <c r="L32" s="786">
        <v>180</v>
      </c>
      <c r="M32" s="784"/>
      <c r="S32" s="794"/>
      <c r="T32" s="776"/>
    </row>
    <row r="33" spans="1:20" ht="16.350000000000001" customHeight="1" x14ac:dyDescent="0.2">
      <c r="A33" s="775"/>
      <c r="B33" s="820"/>
      <c r="C33" s="760"/>
      <c r="E33" s="760" t="str">
        <f t="shared" si="5"/>
        <v>Feldfutterbau</v>
      </c>
      <c r="H33" s="817">
        <v>9</v>
      </c>
      <c r="I33" s="770" t="s">
        <v>3504</v>
      </c>
      <c r="J33" s="771" t="s">
        <v>3553</v>
      </c>
      <c r="K33" s="766" t="str">
        <f t="shared" si="0"/>
        <v>9Klee-/Luzernegras: 71 - 80 %</v>
      </c>
      <c r="L33" s="786">
        <v>210</v>
      </c>
      <c r="M33" s="784"/>
      <c r="S33" s="794"/>
      <c r="T33" s="776"/>
    </row>
    <row r="34" spans="1:20" ht="16.350000000000001" customHeight="1" x14ac:dyDescent="0.2">
      <c r="A34" s="775"/>
      <c r="B34" s="820"/>
      <c r="C34" s="760"/>
      <c r="E34" s="760" t="str">
        <f t="shared" si="5"/>
        <v>Feldfutterbau</v>
      </c>
      <c r="H34" s="817">
        <v>10</v>
      </c>
      <c r="I34" s="770" t="s">
        <v>3505</v>
      </c>
      <c r="J34" s="771" t="s">
        <v>3554</v>
      </c>
      <c r="K34" s="766" t="str">
        <f t="shared" si="0"/>
        <v>10Klee-/Luzernegras: 81 - 90 %</v>
      </c>
      <c r="L34" s="786">
        <v>240</v>
      </c>
      <c r="M34" s="784"/>
      <c r="S34" s="794"/>
      <c r="T34" s="776"/>
    </row>
    <row r="35" spans="1:20" ht="16.350000000000001" customHeight="1" x14ac:dyDescent="0.2">
      <c r="A35" s="775"/>
      <c r="B35" s="820">
        <f>Kulturen!E109</f>
        <v>15</v>
      </c>
      <c r="C35" s="760" t="str">
        <f>Kulturen!F109</f>
        <v>Rotklee/Luzerne in Reinkultur</v>
      </c>
      <c r="E35" s="760" t="str">
        <f t="shared" si="5"/>
        <v>Feldfutterbau</v>
      </c>
      <c r="H35" s="817">
        <v>11</v>
      </c>
      <c r="I35" s="773" t="str">
        <f>C35</f>
        <v>Rotklee/Luzerne in Reinkultur</v>
      </c>
      <c r="J35" s="1527" t="s">
        <v>4732</v>
      </c>
      <c r="K35" s="774" t="str">
        <f t="shared" si="0"/>
        <v>11Rotklee/Luzerne in Reinkultur</v>
      </c>
      <c r="L35" s="785">
        <v>360</v>
      </c>
      <c r="M35" s="784"/>
      <c r="S35" s="794"/>
      <c r="T35" s="776"/>
    </row>
    <row r="36" spans="1:20" x14ac:dyDescent="0.2">
      <c r="A36" s="775"/>
      <c r="B36" s="1226">
        <f>Kulturen!E110</f>
        <v>16</v>
      </c>
      <c r="C36" s="1032" t="str">
        <f>Kulturen!F110</f>
        <v>xy..Klee in Reinkultur</v>
      </c>
      <c r="D36" s="1032"/>
      <c r="E36" s="1032" t="str">
        <f t="shared" si="5"/>
        <v>Feldfutterbau</v>
      </c>
      <c r="F36" s="1032"/>
      <c r="G36" s="1032"/>
      <c r="H36" s="1227">
        <v>12</v>
      </c>
      <c r="I36" s="1033" t="str">
        <f>C36</f>
        <v>xy..Klee in Reinkultur</v>
      </c>
      <c r="J36" s="1034"/>
      <c r="K36" s="1035" t="str">
        <f t="shared" si="0"/>
        <v>12xy..Klee in Reinkultur</v>
      </c>
      <c r="L36" s="1036">
        <v>199</v>
      </c>
      <c r="M36" s="784" t="s">
        <v>4546</v>
      </c>
      <c r="S36" s="794"/>
      <c r="T36" s="776"/>
    </row>
    <row r="37" spans="1:20" x14ac:dyDescent="0.2">
      <c r="A37" s="775"/>
      <c r="B37" s="820"/>
      <c r="C37" s="760"/>
      <c r="H37" s="817"/>
      <c r="L37" s="786"/>
      <c r="M37" s="784"/>
      <c r="S37" s="794"/>
      <c r="T37" s="776"/>
    </row>
    <row r="38" spans="1:20" x14ac:dyDescent="0.2">
      <c r="A38" s="775"/>
      <c r="B38" s="820"/>
      <c r="C38" s="760"/>
      <c r="L38" s="786"/>
      <c r="M38" s="784"/>
      <c r="S38" s="794"/>
      <c r="T38" s="776"/>
    </row>
    <row r="39" spans="1:20" x14ac:dyDescent="0.2">
      <c r="A39" s="775"/>
      <c r="B39" s="790"/>
      <c r="C39" s="777"/>
      <c r="D39" s="777"/>
      <c r="E39" s="777"/>
      <c r="F39" s="777"/>
      <c r="G39" s="777"/>
      <c r="H39" s="777"/>
      <c r="I39" s="777"/>
      <c r="J39" s="777"/>
      <c r="K39" s="777"/>
      <c r="L39" s="791"/>
      <c r="M39" s="784"/>
      <c r="S39" s="794"/>
      <c r="T39" s="776"/>
    </row>
    <row r="40" spans="1:20" x14ac:dyDescent="0.2">
      <c r="A40" s="775"/>
      <c r="B40" s="781" t="s">
        <v>3488</v>
      </c>
      <c r="C40" s="782"/>
      <c r="D40" s="782"/>
      <c r="E40" s="782"/>
      <c r="F40" s="782"/>
      <c r="G40" s="782"/>
      <c r="H40" s="782"/>
      <c r="I40" s="782"/>
      <c r="J40" s="782"/>
      <c r="K40" s="782"/>
      <c r="L40" s="783"/>
      <c r="M40" s="784"/>
      <c r="S40" s="794"/>
      <c r="T40" s="776"/>
    </row>
    <row r="41" spans="1:20" x14ac:dyDescent="0.2">
      <c r="A41" s="775"/>
      <c r="B41" s="784"/>
      <c r="C41" s="760"/>
      <c r="L41" s="786"/>
      <c r="M41" s="784"/>
      <c r="S41" s="794"/>
      <c r="T41" s="776"/>
    </row>
    <row r="42" spans="1:20" x14ac:dyDescent="0.2">
      <c r="A42" s="775"/>
      <c r="B42" s="1232">
        <f>GL_Eingabe!M21</f>
        <v>1</v>
      </c>
      <c r="C42" s="788">
        <f>VLOOKUP(B42,B13:C36,C2,FALSE)</f>
        <v>0</v>
      </c>
      <c r="D42" s="1039">
        <f>VLOOKUP($B$42,$B$13:$E$36,$E$2,FALSE)</f>
        <v>0</v>
      </c>
      <c r="E42" s="788"/>
      <c r="F42" s="788"/>
      <c r="G42" s="788"/>
      <c r="H42" s="788"/>
      <c r="I42" s="788"/>
      <c r="J42" s="805" t="s">
        <v>3344</v>
      </c>
      <c r="K42" s="798" t="e">
        <f>VLOOKUP(P29,$I$13:$L$36,L2,FALSE)</f>
        <v>#N/A</v>
      </c>
      <c r="L42" s="789">
        <v>40</v>
      </c>
      <c r="M42" s="797"/>
      <c r="N42" s="788"/>
      <c r="O42" s="798"/>
      <c r="P42" s="788"/>
      <c r="Q42" s="788"/>
      <c r="R42" s="788"/>
      <c r="S42" s="799"/>
      <c r="T42" s="776"/>
    </row>
    <row r="43" spans="1:20" x14ac:dyDescent="0.2">
      <c r="B43" s="779"/>
      <c r="C43" s="779"/>
      <c r="D43" s="779"/>
      <c r="E43" s="779"/>
      <c r="F43" s="779"/>
      <c r="G43" s="779"/>
      <c r="H43" s="779"/>
      <c r="I43" s="779"/>
      <c r="J43" s="779"/>
      <c r="K43" s="779"/>
      <c r="L43" s="780"/>
      <c r="M43" s="779"/>
      <c r="N43" s="779"/>
      <c r="O43" s="780"/>
      <c r="P43" s="779"/>
      <c r="Q43" s="779"/>
      <c r="R43" s="779"/>
      <c r="S43" s="779"/>
    </row>
    <row r="44" spans="1:20" x14ac:dyDescent="0.2">
      <c r="D44" s="777"/>
      <c r="E44" s="777"/>
      <c r="F44" s="777"/>
      <c r="G44" s="777"/>
      <c r="H44" s="777"/>
      <c r="I44" s="777"/>
      <c r="J44" s="777"/>
      <c r="K44" s="777"/>
    </row>
    <row r="45" spans="1:20" x14ac:dyDescent="0.2">
      <c r="C45" s="1040"/>
      <c r="D45" s="1041"/>
      <c r="E45" s="1042"/>
      <c r="F45" s="1042"/>
      <c r="G45" s="1042"/>
      <c r="H45" s="1042"/>
      <c r="I45" s="1042"/>
      <c r="J45" s="1043" t="s">
        <v>4548</v>
      </c>
      <c r="K45" s="1044">
        <f>IF(AND(D42="Grünland",O29&gt;O16),0,IF(O29&lt;O14,0,1))</f>
        <v>0</v>
      </c>
      <c r="L45" s="776"/>
    </row>
    <row r="46" spans="1:20" x14ac:dyDescent="0.2">
      <c r="D46" s="779"/>
      <c r="E46" s="779"/>
      <c r="F46" s="779"/>
      <c r="G46" s="779"/>
      <c r="H46" s="779"/>
      <c r="I46" s="779"/>
      <c r="J46" s="779"/>
      <c r="K46" s="779"/>
    </row>
  </sheetData>
  <sheetProtection password="8677" sheet="1" objects="1" scenario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39997558519241921"/>
    <pageSetUpPr fitToPage="1"/>
  </sheetPr>
  <dimension ref="A1:M151"/>
  <sheetViews>
    <sheetView showGridLines="0" zoomScaleNormal="100" workbookViewId="0">
      <pane ySplit="4" topLeftCell="A5" activePane="bottomLeft" state="frozen"/>
      <selection activeCell="W4" sqref="W4"/>
      <selection pane="bottomLeft" activeCell="D1" sqref="D1"/>
    </sheetView>
  </sheetViews>
  <sheetFormatPr baseColWidth="10" defaultColWidth="11.5" defaultRowHeight="15" x14ac:dyDescent="0.2"/>
  <cols>
    <col min="1" max="1" width="0.625" style="59" customWidth="1"/>
    <col min="2" max="2" width="2.125" style="59" customWidth="1"/>
    <col min="3" max="3" width="2.125" style="185" customWidth="1"/>
    <col min="4" max="4" width="11.5" style="59"/>
    <col min="5" max="5" width="19.125" style="59" customWidth="1"/>
    <col min="6" max="10" width="11.5" style="59"/>
    <col min="11" max="11" width="23.25" style="59" customWidth="1"/>
    <col min="12" max="12" width="11.5" style="59"/>
    <col min="13" max="13" width="0" style="59" hidden="1" customWidth="1"/>
    <col min="14" max="16384" width="11.5" style="59"/>
  </cols>
  <sheetData>
    <row r="1" spans="1:12" ht="30.6" customHeight="1" x14ac:dyDescent="0.2">
      <c r="B1" s="631"/>
      <c r="C1" s="632"/>
      <c r="D1" s="633"/>
      <c r="E1" s="633"/>
      <c r="F1" s="633"/>
      <c r="G1" s="633"/>
      <c r="H1" s="633"/>
      <c r="I1" s="633"/>
      <c r="J1" s="633"/>
      <c r="K1" s="633"/>
      <c r="L1" s="633"/>
    </row>
    <row r="2" spans="1:12" ht="18" x14ac:dyDescent="0.2">
      <c r="B2" s="634" t="s">
        <v>0</v>
      </c>
      <c r="C2" s="635"/>
      <c r="D2" s="636"/>
      <c r="E2" s="636"/>
      <c r="F2" s="636"/>
      <c r="G2" s="636"/>
      <c r="H2" s="636"/>
      <c r="I2" s="636"/>
      <c r="J2" s="636"/>
      <c r="K2" s="636"/>
      <c r="L2" s="647" t="str">
        <f>Startmenue!G2</f>
        <v>Version 1.2</v>
      </c>
    </row>
    <row r="3" spans="1:12" ht="13.7" customHeight="1" x14ac:dyDescent="0.2">
      <c r="B3" s="209" t="s">
        <v>44</v>
      </c>
      <c r="C3" s="210"/>
      <c r="D3" s="58"/>
      <c r="E3" s="58"/>
      <c r="F3" s="58"/>
      <c r="G3" s="58"/>
      <c r="H3" s="58"/>
      <c r="I3" s="58"/>
      <c r="J3" s="58"/>
      <c r="K3" s="58"/>
      <c r="L3" s="211"/>
    </row>
    <row r="4" spans="1:12" ht="13.7" customHeight="1" x14ac:dyDescent="0.2">
      <c r="B4" s="212" t="str">
        <f>Startmenue!C4</f>
        <v>(EXCEL-Anwendung, Stand: 06/03/2018)</v>
      </c>
      <c r="C4" s="213"/>
      <c r="D4" s="214"/>
      <c r="E4" s="214"/>
      <c r="F4" s="214"/>
      <c r="G4" s="214"/>
      <c r="H4" s="214"/>
      <c r="I4" s="214"/>
      <c r="J4" s="214"/>
      <c r="K4" s="214"/>
      <c r="L4" s="215"/>
    </row>
    <row r="5" spans="1:12" ht="13.7" customHeight="1" x14ac:dyDescent="0.2">
      <c r="B5" s="637"/>
      <c r="C5" s="635"/>
      <c r="D5" s="1700" t="str">
        <f ca="1">IF(Startmenue!E46&lt;TODAY(),HYPERLINK("https://www.duengung-bw.de/","Diese Datei ist nicht mehr aktuell! 
Aktuelle Berechnungshilfen finden Sie unter www.duengung-bw.de"),"")</f>
        <v/>
      </c>
      <c r="E5" s="636"/>
      <c r="F5" s="636"/>
      <c r="G5" s="636"/>
      <c r="H5" s="636"/>
      <c r="I5" s="636"/>
      <c r="J5" s="636"/>
      <c r="K5" s="636"/>
      <c r="L5" s="638"/>
    </row>
    <row r="6" spans="1:12" ht="13.7" customHeight="1" x14ac:dyDescent="0.2">
      <c r="B6" s="503"/>
      <c r="C6" s="644"/>
      <c r="D6" s="487"/>
      <c r="E6" s="487"/>
      <c r="F6" s="487"/>
      <c r="G6" s="487"/>
      <c r="H6" s="58"/>
      <c r="I6" s="58"/>
      <c r="J6" s="58"/>
      <c r="K6" s="58"/>
      <c r="L6" s="61"/>
    </row>
    <row r="7" spans="1:12" ht="13.7" customHeight="1" x14ac:dyDescent="0.2">
      <c r="B7" s="639" t="s">
        <v>3330</v>
      </c>
      <c r="C7" s="640"/>
      <c r="D7" s="640" t="s">
        <v>3978</v>
      </c>
      <c r="E7" s="641"/>
      <c r="F7" s="641"/>
      <c r="G7" s="641"/>
      <c r="H7" s="641"/>
      <c r="I7" s="641"/>
      <c r="J7" s="641"/>
      <c r="K7" s="641"/>
      <c r="L7" s="642"/>
    </row>
    <row r="8" spans="1:12" ht="13.7" customHeight="1" x14ac:dyDescent="0.2">
      <c r="B8" s="970"/>
      <c r="C8" s="644"/>
      <c r="D8" s="644"/>
      <c r="E8" s="487"/>
      <c r="F8" s="487"/>
      <c r="G8" s="487"/>
      <c r="H8" s="487"/>
      <c r="I8" s="487"/>
      <c r="J8" s="487"/>
      <c r="K8" s="487"/>
      <c r="L8" s="488"/>
    </row>
    <row r="9" spans="1:12" ht="234" customHeight="1" x14ac:dyDescent="0.2">
      <c r="B9" s="503"/>
      <c r="C9" s="210"/>
      <c r="D9" s="1844" t="s">
        <v>4809</v>
      </c>
      <c r="E9" s="1844"/>
      <c r="F9" s="1844"/>
      <c r="G9" s="1844"/>
      <c r="H9" s="1844"/>
      <c r="I9" s="1844"/>
      <c r="J9" s="1844"/>
      <c r="K9" s="1844"/>
      <c r="L9" s="61"/>
    </row>
    <row r="10" spans="1:12" ht="13.7" customHeight="1" x14ac:dyDescent="0.2">
      <c r="B10" s="563"/>
      <c r="C10" s="210"/>
      <c r="D10" s="58"/>
      <c r="E10" s="58"/>
      <c r="F10" s="643"/>
      <c r="G10" s="58"/>
      <c r="H10" s="58"/>
      <c r="I10" s="58"/>
      <c r="J10" s="58"/>
      <c r="K10" s="643"/>
      <c r="L10" s="61"/>
    </row>
    <row r="11" spans="1:12" ht="13.7" customHeight="1" x14ac:dyDescent="0.2">
      <c r="B11" s="639" t="s">
        <v>3335</v>
      </c>
      <c r="C11" s="640"/>
      <c r="D11" s="640" t="s">
        <v>4025</v>
      </c>
      <c r="E11" s="641"/>
      <c r="F11" s="641"/>
      <c r="G11" s="641"/>
      <c r="H11" s="641"/>
      <c r="I11" s="641"/>
      <c r="J11" s="641"/>
      <c r="K11" s="641"/>
      <c r="L11" s="642"/>
    </row>
    <row r="12" spans="1:12" ht="13.7" customHeight="1" x14ac:dyDescent="0.2">
      <c r="B12" s="970"/>
      <c r="C12" s="644"/>
      <c r="D12" s="644"/>
      <c r="E12" s="487"/>
      <c r="F12" s="487"/>
      <c r="G12" s="487"/>
      <c r="H12" s="487"/>
      <c r="I12" s="487"/>
      <c r="J12" s="487"/>
      <c r="K12" s="487"/>
      <c r="L12" s="488"/>
    </row>
    <row r="13" spans="1:12" ht="13.7" customHeight="1" x14ac:dyDescent="0.2">
      <c r="B13" s="970"/>
      <c r="C13" s="644"/>
      <c r="D13" s="644" t="s">
        <v>4810</v>
      </c>
      <c r="E13" s="487"/>
      <c r="F13" s="487"/>
      <c r="G13" s="487"/>
      <c r="H13" s="487"/>
      <c r="I13" s="487"/>
      <c r="J13" s="487"/>
      <c r="K13" s="487"/>
      <c r="L13" s="488"/>
    </row>
    <row r="14" spans="1:12" ht="13.7" customHeight="1" x14ac:dyDescent="0.2">
      <c r="B14" s="970"/>
      <c r="C14" s="644"/>
      <c r="D14" s="644"/>
      <c r="E14" s="487"/>
      <c r="F14" s="487"/>
      <c r="G14" s="487"/>
      <c r="H14" s="487"/>
      <c r="I14" s="487"/>
      <c r="J14" s="487"/>
      <c r="K14" s="487"/>
      <c r="L14" s="488"/>
    </row>
    <row r="15" spans="1:12" ht="13.7" customHeight="1" x14ac:dyDescent="0.2">
      <c r="B15" s="563"/>
      <c r="C15" s="210"/>
      <c r="D15" s="58" t="s">
        <v>4811</v>
      </c>
      <c r="E15" s="58"/>
      <c r="F15" s="58"/>
      <c r="G15" s="58"/>
      <c r="H15" s="58"/>
      <c r="I15" s="58"/>
      <c r="J15" s="58"/>
      <c r="K15" s="58"/>
      <c r="L15" s="61"/>
    </row>
    <row r="16" spans="1:12" ht="105.95" customHeight="1" x14ac:dyDescent="0.2">
      <c r="A16" s="218"/>
      <c r="B16" s="970"/>
      <c r="C16" s="210"/>
      <c r="D16" s="1846" t="s">
        <v>4553</v>
      </c>
      <c r="E16" s="1846"/>
      <c r="F16" s="1846"/>
      <c r="G16" s="1846"/>
      <c r="H16" s="1846"/>
      <c r="I16" s="1846"/>
      <c r="J16" s="1846"/>
      <c r="K16" s="1846"/>
      <c r="L16" s="61"/>
    </row>
    <row r="17" spans="1:12" ht="82.15" customHeight="1" x14ac:dyDescent="0.2">
      <c r="A17" s="218"/>
      <c r="B17" s="970"/>
      <c r="C17" s="210"/>
      <c r="D17" s="1847" t="s">
        <v>4825</v>
      </c>
      <c r="E17" s="1848"/>
      <c r="F17" s="1848"/>
      <c r="G17" s="1848"/>
      <c r="H17" s="1848"/>
      <c r="I17" s="1848"/>
      <c r="J17" s="1848"/>
      <c r="K17" s="1848"/>
      <c r="L17" s="61"/>
    </row>
    <row r="18" spans="1:12" ht="13.7" customHeight="1" x14ac:dyDescent="0.2">
      <c r="A18" s="218"/>
      <c r="B18" s="970"/>
      <c r="C18" s="210"/>
      <c r="D18" s="644" t="s">
        <v>4806</v>
      </c>
      <c r="E18" s="1726"/>
      <c r="F18" s="1726"/>
      <c r="G18" s="1726"/>
      <c r="H18" s="1726"/>
      <c r="I18" s="1726"/>
      <c r="J18" s="1726"/>
      <c r="K18" s="1726"/>
      <c r="L18" s="61"/>
    </row>
    <row r="19" spans="1:12" ht="13.7" customHeight="1" x14ac:dyDescent="0.2">
      <c r="B19" s="970"/>
      <c r="C19" s="210"/>
      <c r="D19" s="60" t="s">
        <v>4812</v>
      </c>
      <c r="E19" s="58"/>
      <c r="F19" s="58"/>
      <c r="G19" s="58"/>
      <c r="H19" s="58"/>
      <c r="I19" s="58"/>
      <c r="J19" s="58"/>
      <c r="K19" s="58"/>
      <c r="L19" s="61"/>
    </row>
    <row r="20" spans="1:12" ht="132.75" customHeight="1" x14ac:dyDescent="0.2">
      <c r="B20" s="970"/>
      <c r="C20" s="210"/>
      <c r="D20" s="1849" t="s">
        <v>4551</v>
      </c>
      <c r="E20" s="1850"/>
      <c r="F20" s="1850"/>
      <c r="G20" s="1850"/>
      <c r="H20" s="1850"/>
      <c r="I20" s="1850"/>
      <c r="J20" s="1850"/>
      <c r="K20" s="1850"/>
      <c r="L20" s="61"/>
    </row>
    <row r="21" spans="1:12" ht="114.75" customHeight="1" x14ac:dyDescent="0.2">
      <c r="B21" s="970"/>
      <c r="C21" s="210"/>
      <c r="D21" s="60"/>
      <c r="E21" s="1846" t="s">
        <v>4552</v>
      </c>
      <c r="F21" s="1846"/>
      <c r="G21" s="1846"/>
      <c r="H21" s="1846"/>
      <c r="I21" s="1846"/>
      <c r="J21" s="1846"/>
      <c r="K21" s="1846"/>
      <c r="L21" s="61"/>
    </row>
    <row r="22" spans="1:12" ht="13.7" customHeight="1" x14ac:dyDescent="0.2">
      <c r="B22" s="970"/>
      <c r="C22" s="210"/>
      <c r="D22" s="58"/>
      <c r="E22" s="58"/>
      <c r="F22" s="58"/>
      <c r="G22" s="58"/>
      <c r="H22" s="58"/>
      <c r="I22" s="58"/>
      <c r="J22" s="58"/>
      <c r="K22" s="58"/>
      <c r="L22" s="61"/>
    </row>
    <row r="23" spans="1:12" ht="13.7" customHeight="1" x14ac:dyDescent="0.2">
      <c r="B23" s="970"/>
      <c r="C23" s="210"/>
      <c r="D23" s="644" t="s">
        <v>4789</v>
      </c>
      <c r="E23" s="58"/>
      <c r="F23" s="58"/>
      <c r="G23" s="58"/>
      <c r="H23" s="58"/>
      <c r="I23" s="58"/>
      <c r="J23" s="58"/>
      <c r="K23" s="58"/>
      <c r="L23" s="61"/>
    </row>
    <row r="24" spans="1:12" ht="13.7" customHeight="1" x14ac:dyDescent="0.2">
      <c r="B24" s="970"/>
      <c r="C24" s="210"/>
      <c r="D24" s="60" t="s">
        <v>4816</v>
      </c>
      <c r="E24" s="58"/>
      <c r="F24" s="58"/>
      <c r="G24" s="58"/>
      <c r="H24" s="58"/>
      <c r="I24" s="58"/>
      <c r="J24" s="58"/>
      <c r="K24" s="58"/>
      <c r="L24" s="61"/>
    </row>
    <row r="25" spans="1:12" ht="117.75" customHeight="1" x14ac:dyDescent="0.2">
      <c r="B25" s="970"/>
      <c r="C25" s="210"/>
      <c r="D25" s="1846" t="s">
        <v>4734</v>
      </c>
      <c r="E25" s="1846"/>
      <c r="F25" s="1846"/>
      <c r="G25" s="1846"/>
      <c r="H25" s="1846"/>
      <c r="I25" s="1846"/>
      <c r="J25" s="1846"/>
      <c r="K25" s="1846"/>
      <c r="L25" s="61"/>
    </row>
    <row r="26" spans="1:12" ht="13.7" customHeight="1" x14ac:dyDescent="0.2">
      <c r="B26" s="970"/>
      <c r="C26" s="210"/>
      <c r="D26" s="60"/>
      <c r="E26" s="58"/>
      <c r="F26" s="58"/>
      <c r="G26" s="58"/>
      <c r="H26" s="58"/>
      <c r="I26" s="58"/>
      <c r="J26" s="58"/>
      <c r="K26" s="58"/>
      <c r="L26" s="61"/>
    </row>
    <row r="27" spans="1:12" ht="13.7" customHeight="1" x14ac:dyDescent="0.2">
      <c r="B27" s="970"/>
      <c r="C27" s="644"/>
      <c r="D27" s="644" t="s">
        <v>4790</v>
      </c>
      <c r="E27" s="58"/>
      <c r="F27" s="58"/>
      <c r="G27" s="58"/>
      <c r="H27" s="58"/>
      <c r="I27" s="58"/>
      <c r="J27" s="58"/>
      <c r="K27" s="58"/>
      <c r="L27" s="61"/>
    </row>
    <row r="28" spans="1:12" ht="13.7" customHeight="1" x14ac:dyDescent="0.2">
      <c r="B28" s="970"/>
      <c r="C28" s="644"/>
      <c r="D28" s="487" t="s">
        <v>4813</v>
      </c>
      <c r="E28" s="58"/>
      <c r="F28" s="58"/>
      <c r="G28" s="58"/>
      <c r="H28" s="58"/>
      <c r="I28" s="58"/>
      <c r="J28" s="58"/>
      <c r="K28" s="58"/>
      <c r="L28" s="61"/>
    </row>
    <row r="29" spans="1:12" ht="67.900000000000006" customHeight="1" x14ac:dyDescent="0.2">
      <c r="B29" s="970"/>
      <c r="C29" s="644"/>
      <c r="D29" s="1842" t="s">
        <v>4795</v>
      </c>
      <c r="E29" s="1842"/>
      <c r="F29" s="1842"/>
      <c r="G29" s="1842"/>
      <c r="H29" s="1842"/>
      <c r="I29" s="1842"/>
      <c r="J29" s="1842"/>
      <c r="K29" s="1842"/>
      <c r="L29" s="61"/>
    </row>
    <row r="30" spans="1:12" ht="13.7" customHeight="1" x14ac:dyDescent="0.2">
      <c r="B30" s="563"/>
      <c r="C30" s="210"/>
      <c r="D30" s="58"/>
      <c r="E30" s="58"/>
      <c r="F30" s="58"/>
      <c r="G30" s="58"/>
      <c r="H30" s="58"/>
      <c r="I30" s="58"/>
      <c r="J30" s="58"/>
      <c r="K30" s="58"/>
      <c r="L30" s="61"/>
    </row>
    <row r="31" spans="1:12" ht="13.7" customHeight="1" x14ac:dyDescent="0.2">
      <c r="B31" s="639" t="s">
        <v>3336</v>
      </c>
      <c r="C31" s="640"/>
      <c r="D31" s="640" t="s">
        <v>4381</v>
      </c>
      <c r="E31" s="641"/>
      <c r="F31" s="641"/>
      <c r="G31" s="641"/>
      <c r="H31" s="641"/>
      <c r="I31" s="641"/>
      <c r="J31" s="641"/>
      <c r="K31" s="641"/>
      <c r="L31" s="642"/>
    </row>
    <row r="32" spans="1:12" ht="33.950000000000003" customHeight="1" x14ac:dyDescent="0.2">
      <c r="B32" s="563"/>
      <c r="C32" s="210"/>
      <c r="D32" s="1843" t="s">
        <v>4735</v>
      </c>
      <c r="E32" s="1843"/>
      <c r="F32" s="1843"/>
      <c r="G32" s="1843"/>
      <c r="H32" s="1843"/>
      <c r="I32" s="1843"/>
      <c r="J32" s="1843"/>
      <c r="K32" s="1843"/>
      <c r="L32" s="61"/>
    </row>
    <row r="33" spans="2:13" ht="13.7" customHeight="1" x14ac:dyDescent="0.2">
      <c r="B33" s="563"/>
      <c r="C33" s="210"/>
      <c r="D33" s="210"/>
      <c r="E33" s="58"/>
      <c r="F33" s="58"/>
      <c r="G33" s="58"/>
      <c r="H33" s="58"/>
      <c r="I33" s="58"/>
      <c r="J33" s="58"/>
      <c r="K33" s="58"/>
      <c r="L33" s="61"/>
    </row>
    <row r="34" spans="2:13" ht="13.7" customHeight="1" x14ac:dyDescent="0.2">
      <c r="B34" s="563"/>
      <c r="C34" s="210"/>
      <c r="D34" s="58" t="s">
        <v>4020</v>
      </c>
      <c r="E34" s="500" t="s">
        <v>4021</v>
      </c>
      <c r="F34" s="58" t="s">
        <v>3543</v>
      </c>
      <c r="G34" s="499" t="s">
        <v>4024</v>
      </c>
      <c r="H34" s="58"/>
      <c r="I34" s="58"/>
      <c r="J34" s="58"/>
      <c r="K34" s="58"/>
      <c r="L34" s="61"/>
    </row>
    <row r="35" spans="2:13" ht="13.7" customHeight="1" x14ac:dyDescent="0.2">
      <c r="B35" s="563"/>
      <c r="C35" s="210"/>
      <c r="D35" s="219"/>
      <c r="E35" s="220"/>
      <c r="F35" s="645"/>
      <c r="G35" s="58"/>
      <c r="H35" s="58"/>
      <c r="I35" s="58"/>
      <c r="J35" s="58"/>
      <c r="K35" s="58"/>
      <c r="L35" s="61"/>
    </row>
    <row r="36" spans="2:13" ht="13.7" customHeight="1" x14ac:dyDescent="0.2">
      <c r="B36" s="563"/>
      <c r="C36" s="210"/>
      <c r="D36" s="210"/>
      <c r="E36" s="500" t="s">
        <v>4023</v>
      </c>
      <c r="F36" s="58"/>
      <c r="G36" s="58"/>
      <c r="H36" s="58"/>
      <c r="I36" s="58"/>
      <c r="J36" s="58"/>
      <c r="K36" s="58"/>
      <c r="L36" s="61"/>
    </row>
    <row r="37" spans="2:13" ht="13.7" customHeight="1" x14ac:dyDescent="0.2">
      <c r="B37" s="563"/>
      <c r="C37" s="210"/>
      <c r="D37" s="58"/>
      <c r="E37" s="58"/>
      <c r="F37" s="58"/>
      <c r="G37" s="58"/>
      <c r="H37" s="58"/>
      <c r="I37" s="58"/>
      <c r="J37" s="58"/>
      <c r="K37" s="58"/>
      <c r="L37" s="61"/>
    </row>
    <row r="38" spans="2:13" ht="129" customHeight="1" x14ac:dyDescent="0.2">
      <c r="B38" s="563"/>
      <c r="C38" s="210"/>
      <c r="D38" s="1843" t="s">
        <v>4817</v>
      </c>
      <c r="E38" s="1843"/>
      <c r="F38" s="1843"/>
      <c r="G38" s="1843"/>
      <c r="H38" s="1843"/>
      <c r="I38" s="1843"/>
      <c r="J38" s="1843"/>
      <c r="K38" s="1843"/>
      <c r="L38" s="61"/>
    </row>
    <row r="39" spans="2:13" ht="13.7" customHeight="1" x14ac:dyDescent="0.2">
      <c r="B39" s="563"/>
      <c r="C39" s="210"/>
      <c r="D39" s="58"/>
      <c r="E39" s="58"/>
      <c r="F39" s="58"/>
      <c r="G39" s="58"/>
      <c r="H39" s="58"/>
      <c r="I39" s="58"/>
      <c r="J39" s="58"/>
      <c r="K39" s="58"/>
      <c r="L39" s="61"/>
    </row>
    <row r="40" spans="2:13" ht="13.7" customHeight="1" x14ac:dyDescent="0.2">
      <c r="B40" s="639" t="s">
        <v>3337</v>
      </c>
      <c r="C40" s="640"/>
      <c r="D40" s="640" t="s">
        <v>3977</v>
      </c>
      <c r="E40" s="641"/>
      <c r="F40" s="641"/>
      <c r="G40" s="641"/>
      <c r="H40" s="641"/>
      <c r="I40" s="641"/>
      <c r="J40" s="641"/>
      <c r="K40" s="641"/>
      <c r="L40" s="642"/>
    </row>
    <row r="41" spans="2:13" ht="13.7" customHeight="1" x14ac:dyDescent="0.2">
      <c r="B41" s="57"/>
      <c r="C41" s="210"/>
      <c r="D41" s="58"/>
      <c r="E41" s="58"/>
      <c r="F41" s="58"/>
      <c r="G41" s="58"/>
      <c r="H41" s="58"/>
      <c r="I41" s="58"/>
      <c r="J41" s="58"/>
      <c r="K41" s="58"/>
      <c r="L41" s="61"/>
    </row>
    <row r="42" spans="2:13" ht="13.7" customHeight="1" x14ac:dyDescent="0.2">
      <c r="B42" s="57"/>
      <c r="C42" s="210">
        <v>1</v>
      </c>
      <c r="D42" s="210" t="s">
        <v>3976</v>
      </c>
      <c r="E42" s="58"/>
      <c r="F42" s="58"/>
      <c r="G42" s="58"/>
      <c r="H42" s="58"/>
      <c r="I42" s="58"/>
      <c r="J42" s="58"/>
      <c r="K42" s="58"/>
      <c r="L42" s="61"/>
    </row>
    <row r="43" spans="2:13" ht="149.44999999999999" customHeight="1" x14ac:dyDescent="0.2">
      <c r="B43" s="57"/>
      <c r="C43" s="210"/>
      <c r="D43" s="1844" t="s">
        <v>4818</v>
      </c>
      <c r="E43" s="1844"/>
      <c r="F43" s="1844"/>
      <c r="G43" s="1844"/>
      <c r="H43" s="1844"/>
      <c r="I43" s="1844"/>
      <c r="J43" s="1844"/>
      <c r="K43" s="1844"/>
      <c r="L43" s="61"/>
    </row>
    <row r="44" spans="2:13" ht="13.7" customHeight="1" x14ac:dyDescent="0.2">
      <c r="B44" s="57"/>
      <c r="C44" s="210"/>
      <c r="D44" s="58"/>
      <c r="E44" s="58"/>
      <c r="F44" s="58"/>
      <c r="G44" s="58"/>
      <c r="H44" s="58"/>
      <c r="I44" s="58"/>
      <c r="J44" s="58"/>
      <c r="K44" s="58"/>
      <c r="L44" s="61"/>
    </row>
    <row r="45" spans="2:13" ht="13.7" customHeight="1" x14ac:dyDescent="0.2">
      <c r="B45" s="57"/>
      <c r="C45" s="210">
        <v>2</v>
      </c>
      <c r="D45" s="210" t="s">
        <v>12</v>
      </c>
      <c r="E45" s="58"/>
      <c r="F45" s="58"/>
      <c r="G45" s="58"/>
      <c r="H45" s="58"/>
      <c r="I45" s="58"/>
      <c r="J45" s="58"/>
      <c r="K45" s="58"/>
      <c r="L45" s="61"/>
    </row>
    <row r="46" spans="2:13" ht="220.5" customHeight="1" x14ac:dyDescent="0.2">
      <c r="B46" s="970"/>
      <c r="C46" s="210"/>
      <c r="D46" s="1844" t="s">
        <v>4814</v>
      </c>
      <c r="E46" s="1844"/>
      <c r="F46" s="1844"/>
      <c r="G46" s="1844"/>
      <c r="H46" s="1844"/>
      <c r="I46" s="1844"/>
      <c r="J46" s="1844"/>
      <c r="K46" s="1844"/>
      <c r="L46" s="61"/>
      <c r="M46" s="221" t="s">
        <v>4026</v>
      </c>
    </row>
    <row r="47" spans="2:13" ht="13.7" customHeight="1" x14ac:dyDescent="0.2">
      <c r="B47" s="57"/>
      <c r="C47" s="210"/>
      <c r="D47" s="58"/>
      <c r="E47" s="58"/>
      <c r="F47" s="58"/>
      <c r="G47" s="58"/>
      <c r="H47" s="58"/>
      <c r="I47" s="58"/>
      <c r="J47" s="58"/>
      <c r="K47" s="58"/>
      <c r="L47" s="61"/>
    </row>
    <row r="48" spans="2:13" ht="13.7" customHeight="1" x14ac:dyDescent="0.2">
      <c r="B48" s="57"/>
      <c r="C48" s="210"/>
      <c r="D48" s="58"/>
      <c r="E48" s="210" t="s">
        <v>4214</v>
      </c>
      <c r="F48" s="58"/>
      <c r="G48" s="58"/>
      <c r="H48" s="58"/>
      <c r="I48" s="58"/>
      <c r="J48" s="58"/>
      <c r="K48" s="58"/>
      <c r="L48" s="61"/>
    </row>
    <row r="49" spans="2:13" ht="49.7" customHeight="1" x14ac:dyDescent="0.2">
      <c r="B49" s="57"/>
      <c r="C49" s="210"/>
      <c r="D49" s="58"/>
      <c r="E49" s="1843" t="s">
        <v>4796</v>
      </c>
      <c r="F49" s="1843"/>
      <c r="G49" s="1843"/>
      <c r="H49" s="1843"/>
      <c r="I49" s="1843"/>
      <c r="J49" s="1843"/>
      <c r="K49" s="1843"/>
      <c r="L49" s="61"/>
      <c r="M49" s="221" t="s">
        <v>4215</v>
      </c>
    </row>
    <row r="50" spans="2:13" ht="13.7" customHeight="1" x14ac:dyDescent="0.2">
      <c r="B50" s="57"/>
      <c r="C50" s="210"/>
      <c r="D50" s="58"/>
      <c r="E50" s="58"/>
      <c r="F50" s="58"/>
      <c r="G50" s="58"/>
      <c r="H50" s="58"/>
      <c r="I50" s="58"/>
      <c r="J50" s="58"/>
      <c r="K50" s="58"/>
      <c r="L50" s="61"/>
    </row>
    <row r="51" spans="2:13" ht="13.7" customHeight="1" x14ac:dyDescent="0.2">
      <c r="B51" s="57"/>
      <c r="C51" s="210"/>
      <c r="D51" s="58"/>
      <c r="E51" s="210" t="s">
        <v>4507</v>
      </c>
      <c r="F51" s="58"/>
      <c r="G51" s="58"/>
      <c r="H51" s="58"/>
      <c r="I51" s="58"/>
      <c r="J51" s="58"/>
      <c r="K51" s="58"/>
      <c r="L51" s="61"/>
    </row>
    <row r="52" spans="2:13" ht="103.5" customHeight="1" x14ac:dyDescent="0.2">
      <c r="B52" s="57"/>
      <c r="C52" s="58"/>
      <c r="D52" s="58"/>
      <c r="E52" s="1843" t="s">
        <v>4815</v>
      </c>
      <c r="F52" s="1843"/>
      <c r="G52" s="1843"/>
      <c r="H52" s="1843"/>
      <c r="I52" s="1843"/>
      <c r="J52" s="1843"/>
      <c r="K52" s="1843"/>
      <c r="L52" s="61"/>
    </row>
    <row r="53" spans="2:13" ht="13.7" customHeight="1" x14ac:dyDescent="0.2">
      <c r="B53" s="57"/>
      <c r="C53" s="58"/>
      <c r="D53" s="58"/>
      <c r="E53" s="58"/>
      <c r="F53" s="58"/>
      <c r="G53" s="58"/>
      <c r="H53" s="58"/>
      <c r="I53" s="58"/>
      <c r="J53" s="58"/>
      <c r="K53" s="58"/>
      <c r="L53" s="61"/>
    </row>
    <row r="54" spans="2:13" ht="60.75" customHeight="1" x14ac:dyDescent="0.2">
      <c r="B54" s="57"/>
      <c r="C54" s="58"/>
      <c r="D54" s="1843" t="s">
        <v>4819</v>
      </c>
      <c r="E54" s="1843"/>
      <c r="F54" s="1843"/>
      <c r="G54" s="1843"/>
      <c r="H54" s="1843"/>
      <c r="I54" s="1843"/>
      <c r="J54" s="1843"/>
      <c r="K54" s="1843"/>
      <c r="L54" s="61"/>
    </row>
    <row r="55" spans="2:13" ht="13.7" customHeight="1" x14ac:dyDescent="0.2">
      <c r="B55" s="57"/>
      <c r="C55" s="58"/>
      <c r="D55" s="58"/>
      <c r="E55" s="58"/>
      <c r="F55" s="58"/>
      <c r="G55" s="58"/>
      <c r="H55" s="58"/>
      <c r="I55" s="58"/>
      <c r="J55" s="58"/>
      <c r="K55" s="58"/>
      <c r="L55" s="61"/>
    </row>
    <row r="56" spans="2:13" ht="13.7" customHeight="1" x14ac:dyDescent="0.2">
      <c r="B56" s="57"/>
      <c r="C56" s="58"/>
      <c r="D56" s="58"/>
      <c r="E56" s="210" t="s">
        <v>4507</v>
      </c>
      <c r="F56" s="58"/>
      <c r="G56" s="58"/>
      <c r="H56" s="58"/>
      <c r="I56" s="58"/>
      <c r="J56" s="58"/>
      <c r="K56" s="58"/>
      <c r="L56" s="61"/>
    </row>
    <row r="57" spans="2:13" ht="29.25" customHeight="1" x14ac:dyDescent="0.2">
      <c r="B57" s="57"/>
      <c r="C57" s="58"/>
      <c r="D57" s="58"/>
      <c r="E57" s="1844" t="s">
        <v>4216</v>
      </c>
      <c r="F57" s="1844"/>
      <c r="G57" s="1844"/>
      <c r="H57" s="1844"/>
      <c r="I57" s="1844"/>
      <c r="J57" s="1844"/>
      <c r="K57" s="1844"/>
      <c r="L57" s="61"/>
    </row>
    <row r="58" spans="2:13" ht="13.7" customHeight="1" x14ac:dyDescent="0.2">
      <c r="B58" s="57"/>
      <c r="C58" s="58"/>
      <c r="D58" s="60"/>
      <c r="E58" s="58"/>
      <c r="F58" s="58"/>
      <c r="G58" s="58"/>
      <c r="H58" s="58"/>
      <c r="I58" s="58"/>
      <c r="J58" s="58"/>
      <c r="K58" s="58"/>
      <c r="L58" s="61"/>
    </row>
    <row r="59" spans="2:13" ht="51" customHeight="1" x14ac:dyDescent="0.2">
      <c r="B59" s="57"/>
      <c r="C59" s="58"/>
      <c r="D59" s="1843" t="s">
        <v>4801</v>
      </c>
      <c r="E59" s="1843"/>
      <c r="F59" s="1843"/>
      <c r="G59" s="1843"/>
      <c r="H59" s="1843"/>
      <c r="I59" s="1843"/>
      <c r="J59" s="1843"/>
      <c r="K59" s="1843"/>
      <c r="L59" s="61"/>
    </row>
    <row r="60" spans="2:13" ht="13.7" customHeight="1" x14ac:dyDescent="0.2">
      <c r="B60" s="57"/>
      <c r="C60" s="210"/>
      <c r="D60" s="58"/>
      <c r="E60" s="58"/>
      <c r="F60" s="58"/>
      <c r="G60" s="58"/>
      <c r="H60" s="58"/>
      <c r="I60" s="58"/>
      <c r="J60" s="58"/>
      <c r="K60" s="58"/>
      <c r="L60" s="61"/>
    </row>
    <row r="61" spans="2:13" ht="13.7" customHeight="1" x14ac:dyDescent="0.2">
      <c r="B61" s="57"/>
      <c r="C61" s="210"/>
      <c r="D61" s="58"/>
      <c r="E61" s="210" t="s">
        <v>4214</v>
      </c>
      <c r="F61" s="58"/>
      <c r="G61" s="58"/>
      <c r="H61" s="58"/>
      <c r="I61" s="58"/>
      <c r="J61" s="58"/>
      <c r="K61" s="58"/>
      <c r="L61" s="61"/>
    </row>
    <row r="62" spans="2:13" ht="62.25" customHeight="1" x14ac:dyDescent="0.2">
      <c r="B62" s="57"/>
      <c r="C62" s="210"/>
      <c r="D62" s="58"/>
      <c r="E62" s="1844" t="s">
        <v>4802</v>
      </c>
      <c r="F62" s="1844"/>
      <c r="G62" s="1844"/>
      <c r="H62" s="1844"/>
      <c r="I62" s="1844"/>
      <c r="J62" s="1844"/>
      <c r="K62" s="1844"/>
      <c r="L62" s="61"/>
      <c r="M62" s="221" t="s">
        <v>4218</v>
      </c>
    </row>
    <row r="63" spans="2:13" x14ac:dyDescent="0.2">
      <c r="B63" s="57"/>
      <c r="C63" s="210"/>
      <c r="D63" s="58"/>
      <c r="E63" s="1047"/>
      <c r="F63" s="1047"/>
      <c r="G63" s="1047"/>
      <c r="H63" s="1047"/>
      <c r="I63" s="1047"/>
      <c r="J63" s="1047"/>
      <c r="K63" s="1047"/>
      <c r="L63" s="61"/>
      <c r="M63" s="221"/>
    </row>
    <row r="64" spans="2:13" ht="16.149999999999999" customHeight="1" x14ac:dyDescent="0.2">
      <c r="B64" s="57"/>
      <c r="C64" s="210">
        <v>3</v>
      </c>
      <c r="D64" s="210" t="s">
        <v>4736</v>
      </c>
      <c r="E64" s="58"/>
      <c r="F64" s="58"/>
      <c r="G64" s="58"/>
      <c r="H64" s="58"/>
      <c r="I64" s="58"/>
      <c r="J64" s="58"/>
      <c r="K64" s="58"/>
      <c r="L64" s="61"/>
    </row>
    <row r="65" spans="2:13" ht="39" customHeight="1" x14ac:dyDescent="0.2">
      <c r="B65" s="57"/>
      <c r="C65" s="210"/>
      <c r="D65" s="1844" t="s">
        <v>4820</v>
      </c>
      <c r="E65" s="1844"/>
      <c r="F65" s="1844"/>
      <c r="G65" s="1844"/>
      <c r="H65" s="1844"/>
      <c r="I65" s="1844"/>
      <c r="J65" s="1844"/>
      <c r="K65" s="1844"/>
      <c r="L65" s="61"/>
    </row>
    <row r="66" spans="2:13" ht="13.7" customHeight="1" x14ac:dyDescent="0.2">
      <c r="B66" s="57"/>
      <c r="C66" s="210"/>
      <c r="D66" s="60"/>
      <c r="E66" s="58"/>
      <c r="F66" s="58"/>
      <c r="G66" s="58"/>
      <c r="H66" s="58"/>
      <c r="I66" s="58"/>
      <c r="J66" s="58"/>
      <c r="K66" s="58"/>
      <c r="L66" s="61"/>
    </row>
    <row r="67" spans="2:13" ht="13.7" customHeight="1" x14ac:dyDescent="0.2">
      <c r="B67" s="57"/>
      <c r="C67" s="210"/>
      <c r="D67" s="60"/>
      <c r="E67" s="210" t="s">
        <v>4507</v>
      </c>
      <c r="F67" s="58"/>
      <c r="G67" s="58"/>
      <c r="H67" s="58"/>
      <c r="I67" s="58"/>
      <c r="J67" s="58"/>
      <c r="K67" s="58"/>
      <c r="L67" s="61"/>
    </row>
    <row r="68" spans="2:13" ht="32.25" customHeight="1" x14ac:dyDescent="0.2">
      <c r="B68" s="57"/>
      <c r="C68" s="210"/>
      <c r="D68" s="60"/>
      <c r="E68" s="1844" t="s">
        <v>4420</v>
      </c>
      <c r="F68" s="1844"/>
      <c r="G68" s="1844"/>
      <c r="H68" s="1844"/>
      <c r="I68" s="1844"/>
      <c r="J68" s="1844"/>
      <c r="K68" s="1844"/>
      <c r="L68" s="61"/>
    </row>
    <row r="69" spans="2:13" x14ac:dyDescent="0.2">
      <c r="B69" s="57"/>
      <c r="C69" s="210"/>
      <c r="D69" s="60"/>
      <c r="E69" s="1047"/>
      <c r="F69" s="1047"/>
      <c r="G69" s="1047"/>
      <c r="H69" s="1047"/>
      <c r="I69" s="1047"/>
      <c r="J69" s="1047"/>
      <c r="K69" s="1047"/>
      <c r="L69" s="61"/>
    </row>
    <row r="70" spans="2:13" ht="13.7" customHeight="1" x14ac:dyDescent="0.2">
      <c r="B70" s="57"/>
      <c r="C70" s="210">
        <v>4</v>
      </c>
      <c r="D70" s="210" t="s">
        <v>3576</v>
      </c>
      <c r="E70" s="58"/>
      <c r="F70" s="58"/>
      <c r="G70" s="58"/>
      <c r="H70" s="58"/>
      <c r="I70" s="58"/>
      <c r="J70" s="58"/>
      <c r="K70" s="58"/>
      <c r="L70" s="61"/>
    </row>
    <row r="71" spans="2:13" ht="205.15" customHeight="1" x14ac:dyDescent="0.2">
      <c r="B71" s="57"/>
      <c r="C71" s="210"/>
      <c r="D71" s="1844" t="s">
        <v>4830</v>
      </c>
      <c r="E71" s="1844"/>
      <c r="F71" s="1844"/>
      <c r="G71" s="1844"/>
      <c r="H71" s="1844"/>
      <c r="I71" s="1844"/>
      <c r="J71" s="1844"/>
      <c r="K71" s="1844"/>
      <c r="L71" s="61"/>
    </row>
    <row r="72" spans="2:13" ht="13.7" customHeight="1" x14ac:dyDescent="0.2">
      <c r="B72" s="57"/>
      <c r="C72" s="58"/>
      <c r="D72" s="58"/>
      <c r="E72" s="58"/>
      <c r="F72" s="58"/>
      <c r="G72" s="58"/>
      <c r="H72" s="58"/>
      <c r="I72" s="58"/>
      <c r="J72" s="58"/>
      <c r="K72" s="58"/>
      <c r="L72" s="61"/>
    </row>
    <row r="73" spans="2:13" ht="13.7" customHeight="1" x14ac:dyDescent="0.2">
      <c r="B73" s="57"/>
      <c r="C73" s="58"/>
      <c r="D73" s="58"/>
      <c r="E73" s="210" t="s">
        <v>4507</v>
      </c>
      <c r="F73" s="58"/>
      <c r="G73" s="58"/>
      <c r="H73" s="58"/>
      <c r="I73" s="58"/>
      <c r="J73" s="58"/>
      <c r="K73" s="58"/>
      <c r="L73" s="61"/>
      <c r="M73" s="221" t="s">
        <v>4222</v>
      </c>
    </row>
    <row r="74" spans="2:13" ht="61.5" customHeight="1" x14ac:dyDescent="0.2">
      <c r="B74" s="57"/>
      <c r="C74" s="58"/>
      <c r="D74" s="58"/>
      <c r="E74" s="1843" t="s">
        <v>4797</v>
      </c>
      <c r="F74" s="1843"/>
      <c r="G74" s="1843"/>
      <c r="H74" s="1843"/>
      <c r="I74" s="1843"/>
      <c r="J74" s="1843"/>
      <c r="K74" s="1843"/>
      <c r="L74" s="61"/>
    </row>
    <row r="75" spans="2:13" ht="12" customHeight="1" x14ac:dyDescent="0.2">
      <c r="B75" s="57"/>
      <c r="C75" s="58"/>
      <c r="D75" s="58"/>
      <c r="E75" s="58"/>
      <c r="F75" s="58"/>
      <c r="G75" s="58"/>
      <c r="H75" s="58"/>
      <c r="I75" s="58"/>
      <c r="J75" s="58"/>
      <c r="K75" s="58"/>
      <c r="L75" s="61"/>
    </row>
    <row r="76" spans="2:13" ht="13.7" customHeight="1" x14ac:dyDescent="0.2">
      <c r="B76" s="57"/>
      <c r="C76" s="58"/>
      <c r="D76" s="58"/>
      <c r="E76" s="210" t="s">
        <v>4214</v>
      </c>
      <c r="F76" s="58"/>
      <c r="G76" s="58"/>
      <c r="H76" s="58"/>
      <c r="I76" s="58"/>
      <c r="J76" s="58"/>
      <c r="K76" s="58"/>
      <c r="L76" s="61"/>
    </row>
    <row r="77" spans="2:13" ht="32.25" customHeight="1" x14ac:dyDescent="0.2">
      <c r="B77" s="57"/>
      <c r="C77" s="58"/>
      <c r="D77" s="58"/>
      <c r="E77" s="1844" t="s">
        <v>4803</v>
      </c>
      <c r="F77" s="1844"/>
      <c r="G77" s="1844"/>
      <c r="H77" s="1844"/>
      <c r="I77" s="1844"/>
      <c r="J77" s="1844"/>
      <c r="K77" s="1844"/>
      <c r="L77" s="61"/>
    </row>
    <row r="78" spans="2:13" ht="13.7" customHeight="1" x14ac:dyDescent="0.2">
      <c r="B78" s="57"/>
      <c r="C78" s="210"/>
      <c r="D78" s="58"/>
      <c r="E78" s="60"/>
      <c r="F78" s="58"/>
      <c r="G78" s="58"/>
      <c r="H78" s="58"/>
      <c r="I78" s="58"/>
      <c r="J78" s="58"/>
      <c r="K78" s="58"/>
      <c r="L78" s="61"/>
    </row>
    <row r="79" spans="2:13" ht="13.7" customHeight="1" x14ac:dyDescent="0.2">
      <c r="B79" s="57"/>
      <c r="C79" s="210">
        <v>5</v>
      </c>
      <c r="D79" s="210" t="s">
        <v>4791</v>
      </c>
      <c r="E79" s="58"/>
      <c r="F79" s="58"/>
      <c r="G79" s="58"/>
      <c r="H79" s="58"/>
      <c r="I79" s="58"/>
      <c r="J79" s="58"/>
      <c r="K79" s="58"/>
      <c r="L79" s="61"/>
    </row>
    <row r="80" spans="2:13" ht="306.60000000000002" customHeight="1" x14ac:dyDescent="0.2">
      <c r="B80" s="57"/>
      <c r="C80" s="210"/>
      <c r="D80" s="1843" t="s">
        <v>4821</v>
      </c>
      <c r="E80" s="1843"/>
      <c r="F80" s="1843"/>
      <c r="G80" s="1843"/>
      <c r="H80" s="1843"/>
      <c r="I80" s="1843"/>
      <c r="J80" s="1843"/>
      <c r="K80" s="1843"/>
      <c r="L80" s="61"/>
      <c r="M80" s="221" t="s">
        <v>4220</v>
      </c>
    </row>
    <row r="81" spans="2:12" ht="13.7" customHeight="1" x14ac:dyDescent="0.2">
      <c r="B81" s="57"/>
      <c r="C81" s="210"/>
      <c r="D81" s="58"/>
      <c r="E81" s="58"/>
      <c r="F81" s="58"/>
      <c r="G81" s="58"/>
      <c r="H81" s="58"/>
      <c r="I81" s="58"/>
      <c r="J81" s="58"/>
      <c r="K81" s="58"/>
      <c r="L81" s="61"/>
    </row>
    <row r="82" spans="2:12" ht="13.7" customHeight="1" x14ac:dyDescent="0.2">
      <c r="B82" s="57"/>
      <c r="C82" s="210"/>
      <c r="D82" s="58"/>
      <c r="E82" s="210" t="s">
        <v>4507</v>
      </c>
      <c r="F82" s="58"/>
      <c r="G82" s="58"/>
      <c r="H82" s="58"/>
      <c r="I82" s="58"/>
      <c r="J82" s="58"/>
      <c r="K82" s="58"/>
      <c r="L82" s="61"/>
    </row>
    <row r="83" spans="2:12" ht="59.25" customHeight="1" x14ac:dyDescent="0.2">
      <c r="B83" s="57"/>
      <c r="C83" s="210"/>
      <c r="D83" s="58"/>
      <c r="E83" s="1843" t="s">
        <v>4807</v>
      </c>
      <c r="F83" s="1843"/>
      <c r="G83" s="1843"/>
      <c r="H83" s="1843"/>
      <c r="I83" s="1843"/>
      <c r="J83" s="1843"/>
      <c r="K83" s="1843"/>
      <c r="L83" s="61"/>
    </row>
    <row r="84" spans="2:12" ht="13.7" customHeight="1" x14ac:dyDescent="0.2">
      <c r="B84" s="57"/>
      <c r="C84" s="210"/>
      <c r="D84" s="58"/>
      <c r="E84" s="58"/>
      <c r="F84" s="58"/>
      <c r="G84" s="58"/>
      <c r="H84" s="58"/>
      <c r="I84" s="58"/>
      <c r="J84" s="58"/>
      <c r="K84" s="58"/>
      <c r="L84" s="61"/>
    </row>
    <row r="85" spans="2:12" ht="13.7" customHeight="1" x14ac:dyDescent="0.2">
      <c r="B85" s="57"/>
      <c r="C85" s="210"/>
      <c r="D85" s="58"/>
      <c r="E85" s="210" t="s">
        <v>4214</v>
      </c>
      <c r="F85" s="58"/>
      <c r="G85" s="58"/>
      <c r="H85" s="58"/>
      <c r="I85" s="58"/>
      <c r="J85" s="58"/>
      <c r="K85" s="58"/>
      <c r="L85" s="61"/>
    </row>
    <row r="86" spans="2:12" ht="31.5" customHeight="1" x14ac:dyDescent="0.2">
      <c r="B86" s="57"/>
      <c r="C86" s="210"/>
      <c r="D86" s="58"/>
      <c r="E86" s="1843" t="s">
        <v>4798</v>
      </c>
      <c r="F86" s="1843"/>
      <c r="G86" s="1843"/>
      <c r="H86" s="1843"/>
      <c r="I86" s="1843"/>
      <c r="J86" s="1843"/>
      <c r="K86" s="1843"/>
      <c r="L86" s="61"/>
    </row>
    <row r="87" spans="2:12" ht="13.7" customHeight="1" x14ac:dyDescent="0.2">
      <c r="B87" s="57"/>
      <c r="C87" s="210"/>
      <c r="D87" s="58"/>
      <c r="E87" s="58"/>
      <c r="F87" s="58"/>
      <c r="G87" s="58"/>
      <c r="H87" s="58"/>
      <c r="I87" s="58"/>
      <c r="J87" s="58"/>
      <c r="K87" s="58"/>
      <c r="L87" s="61"/>
    </row>
    <row r="88" spans="2:12" ht="13.7" customHeight="1" x14ac:dyDescent="0.2">
      <c r="B88" s="57"/>
      <c r="C88" s="210">
        <v>6</v>
      </c>
      <c r="D88" s="210" t="s">
        <v>3574</v>
      </c>
      <c r="E88" s="58"/>
      <c r="F88" s="58"/>
      <c r="G88" s="58"/>
      <c r="H88" s="58"/>
      <c r="I88" s="58"/>
      <c r="J88" s="58"/>
      <c r="K88" s="58"/>
      <c r="L88" s="61"/>
    </row>
    <row r="89" spans="2:12" ht="200.25" customHeight="1" x14ac:dyDescent="0.2">
      <c r="B89" s="57"/>
      <c r="C89" s="210"/>
      <c r="D89" s="1843" t="s">
        <v>4826</v>
      </c>
      <c r="E89" s="1843"/>
      <c r="F89" s="1843"/>
      <c r="G89" s="1843"/>
      <c r="H89" s="1843"/>
      <c r="I89" s="1843"/>
      <c r="J89" s="1843"/>
      <c r="K89" s="1843"/>
      <c r="L89" s="61"/>
    </row>
    <row r="90" spans="2:12" ht="13.7" customHeight="1" x14ac:dyDescent="0.2">
      <c r="B90" s="57"/>
      <c r="C90" s="58"/>
      <c r="D90" s="58"/>
      <c r="E90" s="58"/>
      <c r="F90" s="58"/>
      <c r="G90" s="58"/>
      <c r="H90" s="58"/>
      <c r="I90" s="58"/>
      <c r="J90" s="58"/>
      <c r="K90" s="58"/>
      <c r="L90" s="61"/>
    </row>
    <row r="91" spans="2:12" ht="13.7" customHeight="1" x14ac:dyDescent="0.2">
      <c r="B91" s="57"/>
      <c r="C91" s="58"/>
      <c r="D91" s="58"/>
      <c r="E91" s="210" t="s">
        <v>4507</v>
      </c>
      <c r="F91" s="58"/>
      <c r="G91" s="58"/>
      <c r="H91" s="58"/>
      <c r="I91" s="58"/>
      <c r="J91" s="58"/>
      <c r="K91" s="58"/>
      <c r="L91" s="61"/>
    </row>
    <row r="92" spans="2:12" ht="33.950000000000003" customHeight="1" x14ac:dyDescent="0.2">
      <c r="B92" s="57"/>
      <c r="C92" s="58"/>
      <c r="D92" s="58"/>
      <c r="E92" s="1844" t="s">
        <v>4792</v>
      </c>
      <c r="F92" s="1844"/>
      <c r="G92" s="1844"/>
      <c r="H92" s="1844"/>
      <c r="I92" s="1844"/>
      <c r="J92" s="1844"/>
      <c r="K92" s="1844"/>
      <c r="L92" s="61"/>
    </row>
    <row r="93" spans="2:12" ht="13.7" customHeight="1" x14ac:dyDescent="0.2">
      <c r="B93" s="57"/>
      <c r="C93" s="58"/>
      <c r="D93" s="58"/>
      <c r="E93" s="60"/>
      <c r="F93" s="58"/>
      <c r="G93" s="58"/>
      <c r="H93" s="58"/>
      <c r="I93" s="58"/>
      <c r="J93" s="58"/>
      <c r="K93" s="58"/>
      <c r="L93" s="61"/>
    </row>
    <row r="94" spans="2:12" ht="13.7" customHeight="1" x14ac:dyDescent="0.2">
      <c r="B94" s="57"/>
      <c r="C94" s="58"/>
      <c r="D94" s="58"/>
      <c r="E94" s="210" t="s">
        <v>4214</v>
      </c>
      <c r="F94" s="58"/>
      <c r="G94" s="58"/>
      <c r="H94" s="58"/>
      <c r="I94" s="58"/>
      <c r="J94" s="58"/>
      <c r="K94" s="58"/>
      <c r="L94" s="61"/>
    </row>
    <row r="95" spans="2:12" ht="84.95" customHeight="1" x14ac:dyDescent="0.2">
      <c r="B95" s="57"/>
      <c r="C95" s="58"/>
      <c r="D95" s="58"/>
      <c r="E95" s="1844" t="s">
        <v>4799</v>
      </c>
      <c r="F95" s="1844"/>
      <c r="G95" s="1844"/>
      <c r="H95" s="1844"/>
      <c r="I95" s="1844"/>
      <c r="J95" s="1844"/>
      <c r="K95" s="1844"/>
      <c r="L95" s="61"/>
    </row>
    <row r="96" spans="2:12" ht="13.7" customHeight="1" x14ac:dyDescent="0.2">
      <c r="B96" s="57"/>
      <c r="C96" s="58"/>
      <c r="D96" s="58"/>
      <c r="E96" s="58"/>
      <c r="F96" s="58"/>
      <c r="G96" s="58"/>
      <c r="H96" s="58"/>
      <c r="I96" s="58"/>
      <c r="J96" s="58"/>
      <c r="K96" s="58"/>
      <c r="L96" s="61"/>
    </row>
    <row r="97" spans="2:13" ht="13.7" customHeight="1" x14ac:dyDescent="0.2">
      <c r="B97" s="57"/>
      <c r="C97" s="210">
        <v>7</v>
      </c>
      <c r="D97" s="210" t="s">
        <v>3578</v>
      </c>
      <c r="E97" s="58"/>
      <c r="F97" s="58"/>
      <c r="G97" s="58"/>
      <c r="H97" s="58"/>
      <c r="I97" s="58"/>
      <c r="J97" s="58"/>
      <c r="K97" s="58"/>
      <c r="L97" s="61"/>
      <c r="M97" s="221" t="s">
        <v>4221</v>
      </c>
    </row>
    <row r="98" spans="2:13" ht="183.6" customHeight="1" x14ac:dyDescent="0.2">
      <c r="B98" s="57"/>
      <c r="C98" s="210"/>
      <c r="D98" s="1844" t="s">
        <v>4822</v>
      </c>
      <c r="E98" s="1844"/>
      <c r="F98" s="1844"/>
      <c r="G98" s="1844"/>
      <c r="H98" s="1844"/>
      <c r="I98" s="1844"/>
      <c r="J98" s="1844"/>
      <c r="K98" s="1844"/>
      <c r="L98" s="61"/>
    </row>
    <row r="99" spans="2:13" ht="13.7" customHeight="1" x14ac:dyDescent="0.2">
      <c r="B99" s="57"/>
      <c r="C99" s="210"/>
      <c r="D99" s="58"/>
      <c r="E99" s="58"/>
      <c r="F99" s="58"/>
      <c r="G99" s="58"/>
      <c r="H99" s="58"/>
      <c r="I99" s="58"/>
      <c r="J99" s="58"/>
      <c r="K99" s="58"/>
      <c r="L99" s="61"/>
    </row>
    <row r="100" spans="2:13" ht="13.7" customHeight="1" x14ac:dyDescent="0.2">
      <c r="B100" s="57"/>
      <c r="C100" s="210"/>
      <c r="D100" s="58"/>
      <c r="E100" s="210" t="s">
        <v>4461</v>
      </c>
      <c r="F100" s="58"/>
      <c r="G100" s="58"/>
      <c r="H100" s="58"/>
      <c r="I100" s="58"/>
      <c r="J100" s="58"/>
      <c r="K100" s="58"/>
      <c r="L100" s="61"/>
    </row>
    <row r="101" spans="2:13" ht="30.75" customHeight="1" x14ac:dyDescent="0.2">
      <c r="B101" s="57"/>
      <c r="C101" s="210"/>
      <c r="D101" s="58"/>
      <c r="E101" s="1844" t="s">
        <v>4223</v>
      </c>
      <c r="F101" s="1844"/>
      <c r="G101" s="1844"/>
      <c r="H101" s="1844"/>
      <c r="I101" s="1844"/>
      <c r="J101" s="1844"/>
      <c r="K101" s="1844"/>
      <c r="L101" s="61"/>
    </row>
    <row r="102" spans="2:13" ht="13.7" customHeight="1" x14ac:dyDescent="0.2">
      <c r="B102" s="57"/>
      <c r="C102" s="210"/>
      <c r="D102" s="58"/>
      <c r="E102" s="60"/>
      <c r="F102" s="58"/>
      <c r="G102" s="58"/>
      <c r="H102" s="58"/>
      <c r="I102" s="58"/>
      <c r="J102" s="58"/>
      <c r="K102" s="58"/>
      <c r="L102" s="61"/>
    </row>
    <row r="103" spans="2:13" ht="13.7" customHeight="1" x14ac:dyDescent="0.2">
      <c r="B103" s="57"/>
      <c r="C103" s="210"/>
      <c r="D103" s="58"/>
      <c r="E103" s="60"/>
      <c r="F103" s="58"/>
      <c r="G103" s="58"/>
      <c r="H103" s="58"/>
      <c r="I103" s="58"/>
      <c r="J103" s="58"/>
      <c r="K103" s="58"/>
      <c r="L103" s="61"/>
    </row>
    <row r="104" spans="2:13" ht="13.7" customHeight="1" x14ac:dyDescent="0.2">
      <c r="B104" s="57"/>
      <c r="C104" s="210">
        <v>8</v>
      </c>
      <c r="D104" s="210" t="s">
        <v>4224</v>
      </c>
      <c r="E104" s="60"/>
      <c r="F104" s="58"/>
      <c r="G104" s="58"/>
      <c r="H104" s="58"/>
      <c r="I104" s="58"/>
      <c r="J104" s="58"/>
      <c r="K104" s="58"/>
      <c r="L104" s="61"/>
    </row>
    <row r="105" spans="2:13" ht="91.15" customHeight="1" x14ac:dyDescent="0.2">
      <c r="B105" s="57"/>
      <c r="C105" s="210"/>
      <c r="D105" s="1843" t="s">
        <v>4800</v>
      </c>
      <c r="E105" s="1843"/>
      <c r="F105" s="1843"/>
      <c r="G105" s="1843"/>
      <c r="H105" s="1843"/>
      <c r="I105" s="1843"/>
      <c r="J105" s="1843"/>
      <c r="K105" s="1843"/>
      <c r="L105" s="61"/>
      <c r="M105" s="221" t="s">
        <v>4026</v>
      </c>
    </row>
    <row r="106" spans="2:13" ht="13.7" customHeight="1" x14ac:dyDescent="0.2">
      <c r="B106" s="57"/>
      <c r="C106" s="210"/>
      <c r="D106" s="60"/>
      <c r="E106" s="60"/>
      <c r="F106" s="58"/>
      <c r="G106" s="58"/>
      <c r="H106" s="58"/>
      <c r="I106" s="58"/>
      <c r="J106" s="58"/>
      <c r="K106" s="58"/>
      <c r="L106" s="61"/>
    </row>
    <row r="107" spans="2:13" ht="13.7" customHeight="1" x14ac:dyDescent="0.2">
      <c r="B107" s="57"/>
      <c r="C107" s="210">
        <v>9</v>
      </c>
      <c r="D107" s="210" t="s">
        <v>4022</v>
      </c>
      <c r="E107" s="58"/>
      <c r="F107" s="58"/>
      <c r="G107" s="58"/>
      <c r="H107" s="58"/>
      <c r="I107" s="58"/>
      <c r="J107" s="58"/>
      <c r="K107" s="58"/>
      <c r="L107" s="61"/>
    </row>
    <row r="108" spans="2:13" ht="13.7" customHeight="1" x14ac:dyDescent="0.2">
      <c r="B108" s="57"/>
      <c r="C108" s="210"/>
      <c r="D108" s="210"/>
      <c r="E108" s="58"/>
      <c r="F108" s="58"/>
      <c r="G108" s="58"/>
      <c r="H108" s="58"/>
      <c r="I108" s="58"/>
      <c r="J108" s="58"/>
      <c r="K108" s="58"/>
      <c r="L108" s="61"/>
    </row>
    <row r="109" spans="2:13" ht="13.7" customHeight="1" x14ac:dyDescent="0.2">
      <c r="B109" s="57"/>
      <c r="C109" s="210"/>
      <c r="D109" s="210" t="s">
        <v>28</v>
      </c>
      <c r="E109" s="58"/>
      <c r="F109" s="58"/>
      <c r="G109" s="58"/>
      <c r="H109" s="58"/>
      <c r="I109" s="58"/>
      <c r="J109" s="58"/>
      <c r="K109" s="58"/>
      <c r="L109" s="61"/>
    </row>
    <row r="110" spans="2:13" ht="47.25" customHeight="1" x14ac:dyDescent="0.2">
      <c r="B110" s="57"/>
      <c r="C110" s="644"/>
      <c r="D110" s="1844" t="s">
        <v>4823</v>
      </c>
      <c r="E110" s="1844"/>
      <c r="F110" s="1844"/>
      <c r="G110" s="1844"/>
      <c r="H110" s="1844"/>
      <c r="I110" s="1844"/>
      <c r="J110" s="1844"/>
      <c r="K110" s="1844"/>
      <c r="L110" s="61"/>
    </row>
    <row r="111" spans="2:13" ht="13.7" customHeight="1" x14ac:dyDescent="0.2">
      <c r="B111" s="57"/>
      <c r="C111" s="210"/>
      <c r="D111" s="60"/>
      <c r="E111" s="58"/>
      <c r="F111" s="58"/>
      <c r="G111" s="58"/>
      <c r="H111" s="58"/>
      <c r="I111" s="58"/>
      <c r="J111" s="58"/>
      <c r="K111" s="58"/>
      <c r="L111" s="61"/>
    </row>
    <row r="112" spans="2:13" ht="167.25" customHeight="1" x14ac:dyDescent="0.2">
      <c r="B112" s="57"/>
      <c r="C112" s="210"/>
      <c r="D112" s="1844" t="s">
        <v>4808</v>
      </c>
      <c r="E112" s="1844"/>
      <c r="F112" s="1844"/>
      <c r="G112" s="1844"/>
      <c r="H112" s="1844"/>
      <c r="I112" s="1844"/>
      <c r="J112" s="1844"/>
      <c r="K112" s="1844"/>
      <c r="L112" s="61"/>
    </row>
    <row r="113" spans="2:12" ht="13.7" customHeight="1" x14ac:dyDescent="0.2">
      <c r="B113" s="57"/>
      <c r="C113" s="58"/>
      <c r="D113" s="58"/>
      <c r="E113" s="58"/>
      <c r="F113" s="58"/>
      <c r="G113" s="58"/>
      <c r="H113" s="58"/>
      <c r="I113" s="58"/>
      <c r="J113" s="58"/>
      <c r="K113" s="58"/>
      <c r="L113" s="61"/>
    </row>
    <row r="114" spans="2:12" ht="13.7" customHeight="1" x14ac:dyDescent="0.2">
      <c r="B114" s="57"/>
      <c r="C114" s="58"/>
      <c r="D114" s="58"/>
      <c r="E114" s="210" t="s">
        <v>4214</v>
      </c>
      <c r="F114" s="58"/>
      <c r="G114" s="58"/>
      <c r="H114" s="58"/>
      <c r="I114" s="58"/>
      <c r="J114" s="58"/>
      <c r="K114" s="58"/>
      <c r="L114" s="61"/>
    </row>
    <row r="115" spans="2:12" ht="33" customHeight="1" x14ac:dyDescent="0.2">
      <c r="B115" s="57"/>
      <c r="C115" s="58"/>
      <c r="D115" s="58"/>
      <c r="E115" s="1843" t="s">
        <v>4793</v>
      </c>
      <c r="F115" s="1843"/>
      <c r="G115" s="1843"/>
      <c r="H115" s="1843"/>
      <c r="I115" s="1843"/>
      <c r="J115" s="1843"/>
      <c r="K115" s="1843"/>
      <c r="L115" s="61"/>
    </row>
    <row r="116" spans="2:12" ht="13.7" customHeight="1" x14ac:dyDescent="0.2">
      <c r="B116" s="57"/>
      <c r="C116" s="58"/>
      <c r="D116" s="58"/>
      <c r="E116" s="58"/>
      <c r="F116" s="58"/>
      <c r="G116" s="58"/>
      <c r="H116" s="58"/>
      <c r="I116" s="58"/>
      <c r="J116" s="58"/>
      <c r="K116" s="58"/>
      <c r="L116" s="61"/>
    </row>
    <row r="117" spans="2:12" ht="81" customHeight="1" x14ac:dyDescent="0.2">
      <c r="B117" s="57"/>
      <c r="C117" s="58"/>
      <c r="D117" s="1845" t="s">
        <v>4737</v>
      </c>
      <c r="E117" s="1845"/>
      <c r="F117" s="1845"/>
      <c r="G117" s="1845"/>
      <c r="H117" s="1845"/>
      <c r="I117" s="1845"/>
      <c r="J117" s="1845"/>
      <c r="K117" s="1845"/>
      <c r="L117" s="61"/>
    </row>
    <row r="118" spans="2:12" ht="13.7" customHeight="1" x14ac:dyDescent="0.2">
      <c r="B118" s="57"/>
      <c r="C118" s="58"/>
      <c r="D118" s="58"/>
      <c r="E118" s="58"/>
      <c r="F118" s="58"/>
      <c r="G118" s="58"/>
      <c r="H118" s="58"/>
      <c r="I118" s="58"/>
      <c r="J118" s="58"/>
      <c r="K118" s="58"/>
      <c r="L118" s="61"/>
    </row>
    <row r="119" spans="2:12" ht="13.7" customHeight="1" x14ac:dyDescent="0.2">
      <c r="B119" s="57"/>
      <c r="C119" s="58"/>
      <c r="D119" s="58"/>
      <c r="E119" s="58"/>
      <c r="F119" s="58"/>
      <c r="G119" s="58"/>
      <c r="H119" s="58"/>
      <c r="I119" s="58"/>
      <c r="J119" s="58"/>
      <c r="K119" s="58"/>
      <c r="L119" s="61"/>
    </row>
    <row r="120" spans="2:12" ht="78.400000000000006" customHeight="1" x14ac:dyDescent="0.2">
      <c r="B120" s="57"/>
      <c r="C120" s="58"/>
      <c r="D120" s="1843" t="s">
        <v>4738</v>
      </c>
      <c r="E120" s="1843"/>
      <c r="F120" s="1843"/>
      <c r="G120" s="1843"/>
      <c r="H120" s="1843"/>
      <c r="I120" s="1843"/>
      <c r="J120" s="1843"/>
      <c r="K120" s="1843"/>
      <c r="L120" s="61"/>
    </row>
    <row r="121" spans="2:12" ht="13.7" customHeight="1" x14ac:dyDescent="0.2">
      <c r="B121" s="57"/>
      <c r="C121" s="58"/>
      <c r="D121" s="58"/>
      <c r="E121" s="58"/>
      <c r="F121" s="58"/>
      <c r="G121" s="58"/>
      <c r="H121" s="58"/>
      <c r="I121" s="58"/>
      <c r="J121" s="58"/>
      <c r="K121" s="58"/>
      <c r="L121" s="61"/>
    </row>
    <row r="122" spans="2:12" ht="13.7" customHeight="1" x14ac:dyDescent="0.2">
      <c r="B122" s="57"/>
      <c r="C122" s="58"/>
      <c r="D122" s="58"/>
      <c r="E122" s="210" t="s">
        <v>4507</v>
      </c>
      <c r="F122" s="58"/>
      <c r="G122" s="58"/>
      <c r="H122" s="58"/>
      <c r="I122" s="58"/>
      <c r="J122" s="58"/>
      <c r="K122" s="58"/>
      <c r="L122" s="61"/>
    </row>
    <row r="123" spans="2:12" ht="32.25" customHeight="1" x14ac:dyDescent="0.2">
      <c r="B123" s="57"/>
      <c r="C123" s="58"/>
      <c r="D123" s="58"/>
      <c r="E123" s="1843" t="s">
        <v>4473</v>
      </c>
      <c r="F123" s="1843"/>
      <c r="G123" s="1843"/>
      <c r="H123" s="1843"/>
      <c r="I123" s="1843"/>
      <c r="J123" s="1843"/>
      <c r="K123" s="1843"/>
      <c r="L123" s="61"/>
    </row>
    <row r="124" spans="2:12" ht="13.7" customHeight="1" x14ac:dyDescent="0.2">
      <c r="B124" s="57"/>
      <c r="C124" s="58"/>
      <c r="D124" s="58"/>
      <c r="E124" s="210" t="s">
        <v>4214</v>
      </c>
      <c r="F124" s="58"/>
      <c r="G124" s="58"/>
      <c r="H124" s="58"/>
      <c r="I124" s="58"/>
      <c r="J124" s="58"/>
      <c r="K124" s="58"/>
      <c r="L124" s="61"/>
    </row>
    <row r="125" spans="2:12" ht="33.75" customHeight="1" x14ac:dyDescent="0.2">
      <c r="B125" s="57"/>
      <c r="C125" s="58"/>
      <c r="D125" s="58"/>
      <c r="E125" s="1843" t="s">
        <v>4739</v>
      </c>
      <c r="F125" s="1843"/>
      <c r="G125" s="1843"/>
      <c r="H125" s="1843"/>
      <c r="I125" s="1843"/>
      <c r="J125" s="1843"/>
      <c r="K125" s="1843"/>
      <c r="L125" s="61"/>
    </row>
    <row r="126" spans="2:12" ht="13.7" customHeight="1" x14ac:dyDescent="0.2">
      <c r="B126" s="57"/>
      <c r="C126" s="58"/>
      <c r="D126" s="58"/>
      <c r="E126" s="58"/>
      <c r="F126" s="58"/>
      <c r="G126" s="58"/>
      <c r="H126" s="58"/>
      <c r="I126" s="58"/>
      <c r="J126" s="58"/>
      <c r="K126" s="58"/>
      <c r="L126" s="61"/>
    </row>
    <row r="127" spans="2:12" ht="13.7" customHeight="1" x14ac:dyDescent="0.2">
      <c r="B127" s="57"/>
      <c r="C127" s="58"/>
      <c r="D127" s="210" t="s">
        <v>4225</v>
      </c>
      <c r="E127" s="58"/>
      <c r="F127" s="58"/>
      <c r="G127" s="58"/>
      <c r="H127" s="58"/>
      <c r="I127" s="58"/>
      <c r="J127" s="58"/>
      <c r="K127" s="58"/>
      <c r="L127" s="61"/>
    </row>
    <row r="128" spans="2:12" ht="81" customHeight="1" x14ac:dyDescent="0.2">
      <c r="B128" s="57"/>
      <c r="C128" s="58"/>
      <c r="D128" s="1843" t="s">
        <v>4831</v>
      </c>
      <c r="E128" s="1843"/>
      <c r="F128" s="1843"/>
      <c r="G128" s="1843"/>
      <c r="H128" s="1843"/>
      <c r="I128" s="1843"/>
      <c r="J128" s="1843"/>
      <c r="K128" s="1843"/>
      <c r="L128" s="61"/>
    </row>
    <row r="129" spans="2:13" ht="38.1" customHeight="1" x14ac:dyDescent="0.2">
      <c r="B129" s="57"/>
      <c r="C129" s="58"/>
      <c r="D129" s="1843" t="s">
        <v>4804</v>
      </c>
      <c r="E129" s="1843"/>
      <c r="F129" s="1843"/>
      <c r="G129" s="1843"/>
      <c r="H129" s="1843"/>
      <c r="I129" s="1843"/>
      <c r="J129" s="1843"/>
      <c r="K129" s="1843"/>
      <c r="L129" s="61"/>
    </row>
    <row r="130" spans="2:13" ht="13.7" customHeight="1" x14ac:dyDescent="0.2">
      <c r="B130" s="57"/>
      <c r="C130" s="58"/>
      <c r="D130" s="58"/>
      <c r="E130" s="58"/>
      <c r="F130" s="58"/>
      <c r="G130" s="58"/>
      <c r="H130" s="58"/>
      <c r="I130" s="58"/>
      <c r="J130" s="58"/>
      <c r="K130" s="58"/>
      <c r="L130" s="61"/>
    </row>
    <row r="131" spans="2:13" ht="13.7" customHeight="1" x14ac:dyDescent="0.2">
      <c r="B131" s="57"/>
      <c r="C131" s="58"/>
      <c r="D131" s="58"/>
      <c r="E131" s="210" t="s">
        <v>4507</v>
      </c>
      <c r="F131" s="58"/>
      <c r="G131" s="58"/>
      <c r="H131" s="58"/>
      <c r="I131" s="58"/>
      <c r="J131" s="58"/>
      <c r="K131" s="58"/>
      <c r="L131" s="61"/>
    </row>
    <row r="132" spans="2:13" ht="21.75" customHeight="1" x14ac:dyDescent="0.2">
      <c r="B132" s="57"/>
      <c r="C132" s="58"/>
      <c r="D132" s="58"/>
      <c r="E132" s="1843" t="s">
        <v>4740</v>
      </c>
      <c r="F132" s="1843"/>
      <c r="G132" s="1843"/>
      <c r="H132" s="1843"/>
      <c r="I132" s="1843"/>
      <c r="J132" s="1843"/>
      <c r="K132" s="1843"/>
      <c r="L132" s="61"/>
    </row>
    <row r="133" spans="2:13" ht="13.7" customHeight="1" x14ac:dyDescent="0.2">
      <c r="B133" s="57"/>
      <c r="C133" s="58"/>
      <c r="D133" s="58"/>
      <c r="E133" s="58"/>
      <c r="F133" s="58"/>
      <c r="G133" s="58"/>
      <c r="H133" s="58"/>
      <c r="I133" s="58"/>
      <c r="J133" s="58"/>
      <c r="K133" s="58"/>
      <c r="L133" s="61"/>
    </row>
    <row r="134" spans="2:13" ht="13.7" customHeight="1" x14ac:dyDescent="0.2">
      <c r="B134" s="57"/>
      <c r="C134" s="58"/>
      <c r="D134" s="60"/>
      <c r="E134" s="210" t="s">
        <v>4214</v>
      </c>
      <c r="F134" s="58"/>
      <c r="G134" s="58"/>
      <c r="H134" s="58"/>
      <c r="I134" s="58"/>
      <c r="J134" s="58"/>
      <c r="K134" s="58"/>
      <c r="L134" s="61"/>
    </row>
    <row r="135" spans="2:13" ht="21.2" customHeight="1" x14ac:dyDescent="0.2">
      <c r="B135" s="57"/>
      <c r="C135" s="58"/>
      <c r="D135" s="58"/>
      <c r="E135" s="1843" t="s">
        <v>4741</v>
      </c>
      <c r="F135" s="1843"/>
      <c r="G135" s="1843"/>
      <c r="H135" s="1843"/>
      <c r="I135" s="1843"/>
      <c r="J135" s="1843"/>
      <c r="K135" s="1843"/>
      <c r="L135" s="61"/>
    </row>
    <row r="136" spans="2:13" ht="13.7" customHeight="1" x14ac:dyDescent="0.2">
      <c r="B136" s="57"/>
      <c r="C136" s="58"/>
      <c r="D136" s="58"/>
      <c r="E136" s="1532"/>
      <c r="F136" s="1532"/>
      <c r="G136" s="1532"/>
      <c r="H136" s="1532"/>
      <c r="I136" s="1532"/>
      <c r="J136" s="1532"/>
      <c r="K136" s="1532"/>
      <c r="L136" s="61"/>
    </row>
    <row r="137" spans="2:13" ht="18.75" customHeight="1" x14ac:dyDescent="0.2">
      <c r="B137" s="57"/>
      <c r="C137" s="58"/>
      <c r="D137" s="1844" t="s">
        <v>4824</v>
      </c>
      <c r="E137" s="1844"/>
      <c r="F137" s="1844"/>
      <c r="G137" s="1844"/>
      <c r="H137" s="1844"/>
      <c r="I137" s="1844"/>
      <c r="J137" s="1844"/>
      <c r="K137" s="1844"/>
      <c r="L137" s="61"/>
      <c r="M137" s="221" t="s">
        <v>4226</v>
      </c>
    </row>
    <row r="138" spans="2:13" ht="33.950000000000003" customHeight="1" x14ac:dyDescent="0.2">
      <c r="B138" s="57"/>
      <c r="C138" s="58"/>
      <c r="D138" s="1842" t="s">
        <v>4421</v>
      </c>
      <c r="E138" s="1842"/>
      <c r="F138" s="1842"/>
      <c r="G138" s="1842"/>
      <c r="H138" s="1842"/>
      <c r="I138" s="1842"/>
      <c r="J138" s="1842"/>
      <c r="K138" s="1842"/>
      <c r="L138" s="488"/>
      <c r="M138" s="221" t="s">
        <v>4227</v>
      </c>
    </row>
    <row r="139" spans="2:13" ht="13.7" customHeight="1" x14ac:dyDescent="0.2">
      <c r="B139" s="57"/>
      <c r="C139" s="58"/>
      <c r="D139" s="58"/>
      <c r="E139" s="58"/>
      <c r="F139" s="58"/>
      <c r="G139" s="58"/>
      <c r="H139" s="58"/>
      <c r="I139" s="58"/>
      <c r="J139" s="58"/>
      <c r="K139" s="58"/>
      <c r="L139" s="61"/>
      <c r="M139" s="221" t="s">
        <v>4228</v>
      </c>
    </row>
    <row r="140" spans="2:13" ht="33.950000000000003" customHeight="1" x14ac:dyDescent="0.2">
      <c r="B140" s="57"/>
      <c r="C140" s="58"/>
      <c r="D140" s="1843" t="s">
        <v>4794</v>
      </c>
      <c r="E140" s="1843"/>
      <c r="F140" s="1843"/>
      <c r="G140" s="1843"/>
      <c r="H140" s="1843"/>
      <c r="I140" s="1843"/>
      <c r="J140" s="1843"/>
      <c r="K140" s="1843"/>
      <c r="L140" s="61"/>
    </row>
    <row r="141" spans="2:13" ht="13.7" customHeight="1" x14ac:dyDescent="0.2">
      <c r="B141" s="57"/>
      <c r="C141" s="58"/>
      <c r="D141" s="58"/>
      <c r="E141" s="58"/>
      <c r="F141" s="58"/>
      <c r="G141" s="58"/>
      <c r="H141" s="58"/>
      <c r="I141" s="58"/>
      <c r="J141" s="58"/>
      <c r="K141" s="58"/>
      <c r="L141" s="61"/>
    </row>
    <row r="142" spans="2:13" ht="13.7" customHeight="1" x14ac:dyDescent="0.2">
      <c r="B142" s="57"/>
      <c r="C142" s="58"/>
      <c r="D142" s="58"/>
      <c r="E142" s="210" t="s">
        <v>4507</v>
      </c>
      <c r="F142" s="58"/>
      <c r="G142" s="58"/>
      <c r="H142" s="58"/>
      <c r="I142" s="58"/>
      <c r="J142" s="58"/>
      <c r="K142" s="58"/>
      <c r="L142" s="61"/>
    </row>
    <row r="143" spans="2:13" ht="28.5" customHeight="1" x14ac:dyDescent="0.2">
      <c r="B143" s="57"/>
      <c r="C143" s="58"/>
      <c r="D143" s="58"/>
      <c r="E143" s="1843" t="s">
        <v>4229</v>
      </c>
      <c r="F143" s="1843"/>
      <c r="G143" s="1843"/>
      <c r="H143" s="1843"/>
      <c r="I143" s="1843"/>
      <c r="J143" s="1843"/>
      <c r="K143" s="1843"/>
      <c r="L143" s="61"/>
    </row>
    <row r="144" spans="2:13" ht="13.7" customHeight="1" x14ac:dyDescent="0.2">
      <c r="B144" s="57"/>
      <c r="C144" s="58"/>
      <c r="D144" s="58"/>
      <c r="E144" s="58"/>
      <c r="F144" s="58"/>
      <c r="G144" s="58"/>
      <c r="H144" s="58"/>
      <c r="I144" s="58"/>
      <c r="J144" s="58"/>
      <c r="K144" s="58"/>
      <c r="L144" s="61"/>
    </row>
    <row r="145" spans="2:12" ht="13.7" customHeight="1" x14ac:dyDescent="0.2">
      <c r="B145" s="57"/>
      <c r="C145" s="58"/>
      <c r="D145" s="60"/>
      <c r="E145" s="210" t="s">
        <v>4214</v>
      </c>
      <c r="F145" s="58"/>
      <c r="G145" s="58"/>
      <c r="H145" s="58"/>
      <c r="I145" s="58"/>
      <c r="J145" s="58"/>
      <c r="K145" s="58"/>
      <c r="L145" s="61"/>
    </row>
    <row r="146" spans="2:12" ht="13.7" customHeight="1" x14ac:dyDescent="0.2">
      <c r="B146" s="57"/>
      <c r="C146" s="58"/>
      <c r="D146" s="58"/>
      <c r="E146" s="1843" t="s">
        <v>4230</v>
      </c>
      <c r="F146" s="1843"/>
      <c r="G146" s="1843"/>
      <c r="H146" s="1843"/>
      <c r="I146" s="1843"/>
      <c r="J146" s="1843"/>
      <c r="K146" s="1843"/>
      <c r="L146" s="61"/>
    </row>
    <row r="147" spans="2:12" ht="13.7" customHeight="1" x14ac:dyDescent="0.2">
      <c r="B147" s="232"/>
      <c r="C147" s="70"/>
      <c r="D147" s="70"/>
      <c r="E147" s="70"/>
      <c r="F147" s="70"/>
      <c r="G147" s="70"/>
      <c r="H147" s="70"/>
      <c r="I147" s="70"/>
      <c r="J147" s="70"/>
      <c r="K147" s="70"/>
      <c r="L147" s="477"/>
    </row>
    <row r="148" spans="2:12" ht="13.7" customHeight="1" x14ac:dyDescent="0.2"/>
    <row r="150" spans="2:12" s="218" customFormat="1" ht="13.7" customHeight="1" x14ac:dyDescent="0.2">
      <c r="C150" s="217"/>
    </row>
    <row r="151" spans="2:12" s="218" customFormat="1" x14ac:dyDescent="0.2">
      <c r="C151" s="217"/>
    </row>
  </sheetData>
  <sheetProtection password="8677" sheet="1" objects="1" scenarios="1"/>
  <mergeCells count="47">
    <mergeCell ref="D46:K46"/>
    <mergeCell ref="D9:K9"/>
    <mergeCell ref="D16:K16"/>
    <mergeCell ref="D17:K17"/>
    <mergeCell ref="D20:K20"/>
    <mergeCell ref="E21:K21"/>
    <mergeCell ref="D25:K25"/>
    <mergeCell ref="D29:K29"/>
    <mergeCell ref="D32:K32"/>
    <mergeCell ref="D38:K38"/>
    <mergeCell ref="D43:K43"/>
    <mergeCell ref="E62:K62"/>
    <mergeCell ref="D89:K89"/>
    <mergeCell ref="E92:K92"/>
    <mergeCell ref="E95:K95"/>
    <mergeCell ref="D80:K80"/>
    <mergeCell ref="E83:K83"/>
    <mergeCell ref="D65:K65"/>
    <mergeCell ref="E68:K68"/>
    <mergeCell ref="D71:K71"/>
    <mergeCell ref="E74:K74"/>
    <mergeCell ref="E77:K77"/>
    <mergeCell ref="E49:K49"/>
    <mergeCell ref="E52:K52"/>
    <mergeCell ref="D54:K54"/>
    <mergeCell ref="E57:K57"/>
    <mergeCell ref="D59:K59"/>
    <mergeCell ref="D110:K110"/>
    <mergeCell ref="D112:K112"/>
    <mergeCell ref="E115:K115"/>
    <mergeCell ref="E86:K86"/>
    <mergeCell ref="D117:K117"/>
    <mergeCell ref="D98:K98"/>
    <mergeCell ref="E101:K101"/>
    <mergeCell ref="D105:K105"/>
    <mergeCell ref="D138:K138"/>
    <mergeCell ref="D140:K140"/>
    <mergeCell ref="E143:K143"/>
    <mergeCell ref="E146:K146"/>
    <mergeCell ref="D120:K120"/>
    <mergeCell ref="E123:K123"/>
    <mergeCell ref="D128:K128"/>
    <mergeCell ref="D137:K137"/>
    <mergeCell ref="E125:K125"/>
    <mergeCell ref="D129:K129"/>
    <mergeCell ref="E132:K132"/>
    <mergeCell ref="E135:K135"/>
  </mergeCells>
  <pageMargins left="0.25" right="0.25" top="0.75" bottom="0.75" header="0.3" footer="0.3"/>
  <pageSetup paperSize="9" scale="79" fitToHeight="0" orientation="portrait" r:id="rId1"/>
  <rowBreaks count="7" manualBreakCount="7">
    <brk id="23" min="1" max="11" man="1"/>
    <brk id="44" min="1" max="11" man="1"/>
    <brk id="63" min="1" max="11" man="1"/>
    <brk id="78" min="1" max="11" man="1"/>
    <brk id="93" min="1" max="11" man="1"/>
    <brk id="113" min="1" max="11" man="1"/>
    <brk id="137" min="1" max="11"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theme="6" tint="0.59999389629810485"/>
  </sheetPr>
  <dimension ref="A1:AK25"/>
  <sheetViews>
    <sheetView workbookViewId="0">
      <pane ySplit="10" topLeftCell="A135" activePane="bottomLeft" state="frozen"/>
      <selection activeCell="A173" sqref="A173"/>
      <selection pane="bottomLeft" activeCell="A173" sqref="A173"/>
    </sheetView>
  </sheetViews>
  <sheetFormatPr baseColWidth="10" defaultColWidth="11.25" defaultRowHeight="12.75" x14ac:dyDescent="0.2"/>
  <cols>
    <col min="1" max="1" width="2.75" style="656" customWidth="1"/>
    <col min="2" max="2" width="2.5" style="656" bestFit="1" customWidth="1"/>
    <col min="3" max="3" width="60" style="746" customWidth="1"/>
    <col min="4" max="4" width="13.5" style="746" bestFit="1" customWidth="1"/>
    <col min="5" max="5" width="22.625" style="702" bestFit="1" customWidth="1"/>
    <col min="6" max="6" width="21.5" style="656" customWidth="1"/>
    <col min="7" max="16384" width="11.25" style="656"/>
  </cols>
  <sheetData>
    <row r="1" spans="1:37" s="146" customFormat="1" ht="31.7" customHeight="1" x14ac:dyDescent="0.25">
      <c r="B1" s="22"/>
      <c r="C1" s="663" t="str">
        <f>Startmenue!G2</f>
        <v>Version 1.2</v>
      </c>
      <c r="G1" s="576"/>
      <c r="U1" s="576"/>
      <c r="Z1" s="595"/>
      <c r="AE1" s="576"/>
      <c r="AJ1" s="576"/>
      <c r="AK1" s="597"/>
    </row>
    <row r="2" spans="1:37" s="1198" customFormat="1" ht="2.1" customHeight="1" x14ac:dyDescent="0.2">
      <c r="B2" s="679">
        <f>COLUMNS($B$2:B2)</f>
        <v>1</v>
      </c>
      <c r="C2" s="679">
        <f>COLUMNS($B$2:C2)</f>
        <v>2</v>
      </c>
      <c r="D2" s="679">
        <f>COLUMNS($B$2:D2)</f>
        <v>3</v>
      </c>
      <c r="E2" s="679">
        <f>COLUMNS($B$2:E2)</f>
        <v>4</v>
      </c>
      <c r="F2" s="679">
        <f>COLUMNS($B$2:F2)</f>
        <v>5</v>
      </c>
    </row>
    <row r="3" spans="1:37" ht="14.25" x14ac:dyDescent="0.2">
      <c r="B3" s="575" t="s">
        <v>4368</v>
      </c>
      <c r="C3" s="723"/>
      <c r="D3" s="1199" t="s">
        <v>4410</v>
      </c>
      <c r="E3" s="723"/>
      <c r="F3" s="723"/>
    </row>
    <row r="4" spans="1:37" ht="14.25" x14ac:dyDescent="0.2">
      <c r="B4" s="481" t="s">
        <v>4369</v>
      </c>
      <c r="C4" s="723"/>
      <c r="D4" s="1199" t="s">
        <v>4601</v>
      </c>
      <c r="E4" s="723"/>
      <c r="F4" s="723"/>
    </row>
    <row r="5" spans="1:37" ht="14.25" x14ac:dyDescent="0.2">
      <c r="B5" s="723"/>
      <c r="C5" s="723"/>
      <c r="D5" s="1199" t="s">
        <v>4602</v>
      </c>
      <c r="E5" s="723"/>
      <c r="F5" s="723"/>
    </row>
    <row r="6" spans="1:37" ht="0.75" customHeight="1" x14ac:dyDescent="0.2">
      <c r="B6" s="723"/>
      <c r="C6" s="723"/>
      <c r="D6" s="723"/>
      <c r="E6" s="723"/>
      <c r="F6" s="723"/>
    </row>
    <row r="7" spans="1:37" ht="0.75" customHeight="1" x14ac:dyDescent="0.2">
      <c r="B7" s="723"/>
      <c r="C7" s="723"/>
      <c r="D7" s="723"/>
      <c r="E7" s="723"/>
      <c r="F7" s="723"/>
    </row>
    <row r="8" spans="1:37" ht="0.75" customHeight="1" x14ac:dyDescent="0.2">
      <c r="B8" s="747"/>
      <c r="C8" s="748"/>
      <c r="D8" s="748"/>
      <c r="E8" s="749"/>
      <c r="F8" s="747"/>
    </row>
    <row r="9" spans="1:37" s="1083" customFormat="1" x14ac:dyDescent="0.2">
      <c r="A9" s="1206"/>
      <c r="B9" s="1207"/>
      <c r="C9" s="1208" t="s">
        <v>3556</v>
      </c>
      <c r="D9" s="1209" t="s">
        <v>3307</v>
      </c>
      <c r="E9" s="1210" t="s">
        <v>3308</v>
      </c>
      <c r="F9" s="1211"/>
      <c r="G9" s="1212"/>
    </row>
    <row r="10" spans="1:37" s="1083" customFormat="1" ht="12.95" x14ac:dyDescent="0.2">
      <c r="A10" s="1206"/>
      <c r="B10" s="1248"/>
      <c r="E10" s="1095" t="s">
        <v>30</v>
      </c>
      <c r="F10" s="1249"/>
      <c r="G10" s="1212"/>
    </row>
    <row r="11" spans="1:37" x14ac:dyDescent="0.2">
      <c r="A11" s="713"/>
      <c r="B11" s="1213">
        <v>1</v>
      </c>
      <c r="C11" s="743" t="s">
        <v>3306</v>
      </c>
      <c r="D11" s="704"/>
      <c r="F11" s="756"/>
      <c r="G11" s="714"/>
    </row>
    <row r="12" spans="1:37" ht="25.5" x14ac:dyDescent="0.2">
      <c r="A12" s="713"/>
      <c r="B12" s="1213">
        <v>2</v>
      </c>
      <c r="C12" s="744" t="s">
        <v>3310</v>
      </c>
      <c r="D12" s="704" t="s">
        <v>3311</v>
      </c>
      <c r="E12" s="745">
        <v>10</v>
      </c>
      <c r="F12" s="756" t="s">
        <v>3557</v>
      </c>
      <c r="G12" s="714"/>
    </row>
    <row r="13" spans="1:37" ht="25.5" x14ac:dyDescent="0.2">
      <c r="A13" s="713"/>
      <c r="B13" s="1213">
        <v>3</v>
      </c>
      <c r="C13" s="744" t="s">
        <v>3312</v>
      </c>
      <c r="D13" s="704" t="s">
        <v>3311</v>
      </c>
      <c r="E13" s="745">
        <v>30</v>
      </c>
      <c r="F13" s="756" t="s">
        <v>3558</v>
      </c>
      <c r="G13" s="714"/>
    </row>
    <row r="14" spans="1:37" x14ac:dyDescent="0.2">
      <c r="A14" s="713"/>
      <c r="B14" s="1213">
        <v>4</v>
      </c>
      <c r="C14" s="744" t="s">
        <v>3313</v>
      </c>
      <c r="D14" s="704" t="s">
        <v>3311</v>
      </c>
      <c r="E14" s="745">
        <v>50</v>
      </c>
      <c r="F14" s="756" t="s">
        <v>3559</v>
      </c>
      <c r="G14" s="714"/>
    </row>
    <row r="15" spans="1:37" x14ac:dyDescent="0.2">
      <c r="A15" s="713"/>
      <c r="B15" s="1213">
        <v>5</v>
      </c>
      <c r="C15" s="744" t="s">
        <v>3314</v>
      </c>
      <c r="D15" s="704" t="s">
        <v>3311</v>
      </c>
      <c r="E15" s="745">
        <v>50</v>
      </c>
      <c r="F15" s="756" t="s">
        <v>3560</v>
      </c>
      <c r="G15" s="714"/>
      <c r="J15" s="746"/>
    </row>
    <row r="16" spans="1:37" x14ac:dyDescent="0.2">
      <c r="A16" s="713"/>
      <c r="B16" s="1213">
        <v>6</v>
      </c>
      <c r="C16" s="744" t="s">
        <v>3315</v>
      </c>
      <c r="D16" s="704" t="s">
        <v>3311</v>
      </c>
      <c r="E16" s="745">
        <v>80</v>
      </c>
      <c r="F16" s="756" t="s">
        <v>3560</v>
      </c>
      <c r="G16" s="714"/>
    </row>
    <row r="17" spans="1:7" x14ac:dyDescent="0.2">
      <c r="A17" s="713"/>
      <c r="B17" s="1213">
        <v>7</v>
      </c>
      <c r="C17" s="744" t="s">
        <v>3316</v>
      </c>
      <c r="D17" s="704" t="s">
        <v>3317</v>
      </c>
      <c r="E17" s="745">
        <v>0</v>
      </c>
      <c r="F17" s="756" t="s">
        <v>3561</v>
      </c>
      <c r="G17" s="714"/>
    </row>
    <row r="18" spans="1:7" x14ac:dyDescent="0.2">
      <c r="A18" s="713"/>
      <c r="B18" s="755"/>
      <c r="F18" s="756"/>
      <c r="G18" s="714"/>
    </row>
    <row r="19" spans="1:7" x14ac:dyDescent="0.2">
      <c r="A19" s="713"/>
      <c r="B19" s="755"/>
      <c r="F19" s="756"/>
      <c r="G19" s="714"/>
    </row>
    <row r="20" spans="1:7" x14ac:dyDescent="0.2">
      <c r="A20" s="713"/>
      <c r="B20" s="755"/>
      <c r="F20" s="756"/>
      <c r="G20" s="714"/>
    </row>
    <row r="21" spans="1:7" x14ac:dyDescent="0.2">
      <c r="A21" s="713"/>
      <c r="B21" s="758"/>
      <c r="C21" s="748"/>
      <c r="D21" s="748"/>
      <c r="E21" s="749"/>
      <c r="F21" s="759"/>
      <c r="G21" s="714"/>
    </row>
    <row r="22" spans="1:7" x14ac:dyDescent="0.2">
      <c r="A22" s="713"/>
      <c r="B22" s="752"/>
      <c r="C22" s="753" t="s">
        <v>3488</v>
      </c>
      <c r="D22" s="1200" t="s">
        <v>4245</v>
      </c>
      <c r="E22" s="1201">
        <f>GL_Eingabe!M43</f>
        <v>1</v>
      </c>
      <c r="F22" s="754"/>
      <c r="G22" s="714"/>
    </row>
    <row r="23" spans="1:7" x14ac:dyDescent="0.2">
      <c r="A23" s="713"/>
      <c r="B23" s="755"/>
      <c r="F23" s="756"/>
      <c r="G23" s="714"/>
    </row>
    <row r="24" spans="1:7" x14ac:dyDescent="0.2">
      <c r="A24" s="713"/>
      <c r="B24" s="757"/>
      <c r="C24" s="1202" t="str">
        <f>VLOOKUP(GL_Eingabe!$M$43,$B$11:$E$19,$C$2,FALSE)</f>
        <v>bitte auswählen !!</v>
      </c>
      <c r="D24" s="1203"/>
      <c r="E24" s="1204">
        <f>VLOOKUP(GL_Eingabe!$M$43,$B$11:$E$19,$E$2,FALSE)</f>
        <v>0</v>
      </c>
      <c r="F24" s="1205">
        <f>VLOOKUP(GL_Eingabe!$M$43,$B$11:$F$19,$F$2,FALSE)</f>
        <v>0</v>
      </c>
      <c r="G24" s="714"/>
    </row>
    <row r="25" spans="1:7" x14ac:dyDescent="0.2">
      <c r="B25" s="718"/>
      <c r="C25" s="750"/>
      <c r="D25" s="750"/>
      <c r="E25" s="751"/>
      <c r="F25" s="718"/>
    </row>
  </sheetData>
  <sheetProtection password="8677" sheet="1" objects="1" scenarios="1"/>
  <pageMargins left="0.7" right="0.7" top="0.78740157499999996" bottom="0.78740157499999996" header="0.3" footer="0.3"/>
  <drawing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tabColor theme="6" tint="0.39997558519241921"/>
  </sheetPr>
  <dimension ref="A1:AK37"/>
  <sheetViews>
    <sheetView workbookViewId="0">
      <pane ySplit="9" topLeftCell="A10" activePane="bottomLeft" state="frozen"/>
      <selection activeCell="A36" sqref="A36"/>
      <selection pane="bottomLeft" activeCell="A36" sqref="A36"/>
    </sheetView>
  </sheetViews>
  <sheetFormatPr baseColWidth="10" defaultColWidth="11.25" defaultRowHeight="14.25" x14ac:dyDescent="0.2"/>
  <cols>
    <col min="1" max="1" width="2.75" style="724" customWidth="1"/>
    <col min="2" max="2" width="2.5" style="724" bestFit="1" customWidth="1"/>
    <col min="3" max="3" width="32.5" style="724" customWidth="1"/>
    <col min="4" max="4" width="16.25" style="724" customWidth="1"/>
    <col min="5" max="5" width="13.875" style="724" bestFit="1" customWidth="1"/>
    <col min="6" max="6" width="21.75" style="724" bestFit="1" customWidth="1"/>
    <col min="7" max="16384" width="11.25" style="724"/>
  </cols>
  <sheetData>
    <row r="1" spans="1:37" s="146" customFormat="1" ht="15" x14ac:dyDescent="0.25">
      <c r="B1" s="22"/>
      <c r="C1" s="576"/>
      <c r="D1" s="663" t="str">
        <f>Startmenue!G2</f>
        <v>Version 1.2</v>
      </c>
      <c r="U1" s="576"/>
      <c r="Z1" s="595"/>
      <c r="AE1" s="576"/>
      <c r="AJ1" s="576"/>
      <c r="AK1" s="597"/>
    </row>
    <row r="2" spans="1:37" x14ac:dyDescent="0.2">
      <c r="B2" s="723">
        <f>COLUMNS($B$2:B2)</f>
        <v>1</v>
      </c>
      <c r="C2" s="723">
        <f>COLUMNS($B$2:C2)</f>
        <v>2</v>
      </c>
      <c r="D2" s="723">
        <f>COLUMNS($B$2:D2)</f>
        <v>3</v>
      </c>
      <c r="E2" s="723">
        <f>COLUMNS($B$2:E2)</f>
        <v>4</v>
      </c>
      <c r="F2" s="723">
        <f>COLUMNS($B$2:F2)</f>
        <v>5</v>
      </c>
    </row>
    <row r="3" spans="1:37" x14ac:dyDescent="0.2">
      <c r="B3" s="22" t="s">
        <v>4368</v>
      </c>
      <c r="C3" s="22"/>
      <c r="D3" s="724" t="s">
        <v>4411</v>
      </c>
    </row>
    <row r="4" spans="1:37" x14ac:dyDescent="0.2">
      <c r="B4" s="481" t="s">
        <v>4369</v>
      </c>
      <c r="C4" s="22"/>
      <c r="D4" s="724" t="s">
        <v>4587</v>
      </c>
    </row>
    <row r="5" spans="1:37" x14ac:dyDescent="0.2">
      <c r="C5" s="22"/>
      <c r="D5" s="724" t="s">
        <v>4588</v>
      </c>
    </row>
    <row r="6" spans="1:37" ht="0.75" customHeight="1" x14ac:dyDescent="0.2">
      <c r="C6" s="22"/>
    </row>
    <row r="7" spans="1:37" ht="0.75" customHeight="1" x14ac:dyDescent="0.2">
      <c r="C7" s="22"/>
    </row>
    <row r="8" spans="1:37" ht="0.75" customHeight="1" x14ac:dyDescent="0.2">
      <c r="B8" s="728"/>
      <c r="C8" s="728"/>
      <c r="D8" s="728"/>
      <c r="E8" s="728"/>
      <c r="F8" s="728"/>
    </row>
    <row r="9" spans="1:37" s="1100" customFormat="1" ht="13.7" x14ac:dyDescent="0.2">
      <c r="A9" s="1097"/>
      <c r="B9" s="1098"/>
      <c r="C9" s="1118" t="s">
        <v>3577</v>
      </c>
      <c r="D9" s="1118" t="s">
        <v>4597</v>
      </c>
      <c r="E9" s="1118" t="s">
        <v>4596</v>
      </c>
      <c r="F9" s="1119" t="s">
        <v>4400</v>
      </c>
      <c r="G9" s="1099"/>
    </row>
    <row r="10" spans="1:37" ht="13.7" x14ac:dyDescent="0.2">
      <c r="A10" s="727"/>
      <c r="B10" s="731"/>
      <c r="C10" s="725"/>
      <c r="D10" s="725"/>
      <c r="E10" s="510" t="s">
        <v>3633</v>
      </c>
      <c r="F10" s="732"/>
      <c r="G10" s="148"/>
    </row>
    <row r="11" spans="1:37" ht="13.7" x14ac:dyDescent="0.2">
      <c r="A11" s="727"/>
      <c r="B11" s="1093">
        <f>B10+1</f>
        <v>1</v>
      </c>
      <c r="C11" s="510" t="s">
        <v>3352</v>
      </c>
      <c r="D11" s="510" t="s">
        <v>3634</v>
      </c>
      <c r="E11" s="510" t="s">
        <v>3635</v>
      </c>
      <c r="F11" s="733" t="s">
        <v>3330</v>
      </c>
      <c r="G11" s="148"/>
    </row>
    <row r="12" spans="1:37" ht="13.7" x14ac:dyDescent="0.2">
      <c r="A12" s="727"/>
      <c r="B12" s="1093">
        <f t="shared" ref="B12:B16" si="0">B11+1</f>
        <v>2</v>
      </c>
      <c r="C12" s="510" t="s">
        <v>3354</v>
      </c>
      <c r="D12" s="510" t="s">
        <v>3636</v>
      </c>
      <c r="E12" s="510" t="s">
        <v>3635</v>
      </c>
      <c r="F12" s="733" t="s">
        <v>3330</v>
      </c>
      <c r="G12" s="148"/>
    </row>
    <row r="13" spans="1:37" ht="13.7" x14ac:dyDescent="0.2">
      <c r="A13" s="727"/>
      <c r="B13" s="1093">
        <f t="shared" si="0"/>
        <v>3</v>
      </c>
      <c r="C13" s="510" t="s">
        <v>3356</v>
      </c>
      <c r="D13" s="510" t="s">
        <v>3637</v>
      </c>
      <c r="E13" s="510" t="s">
        <v>3453</v>
      </c>
      <c r="F13" s="733" t="s">
        <v>3330</v>
      </c>
      <c r="G13" s="148"/>
    </row>
    <row r="14" spans="1:37" ht="13.7" x14ac:dyDescent="0.2">
      <c r="A14" s="727"/>
      <c r="B14" s="1093">
        <f t="shared" si="0"/>
        <v>4</v>
      </c>
      <c r="C14" s="510" t="s">
        <v>3451</v>
      </c>
      <c r="D14" s="510" t="s">
        <v>3638</v>
      </c>
      <c r="E14" s="510" t="s">
        <v>3453</v>
      </c>
      <c r="F14" s="733" t="s">
        <v>3330</v>
      </c>
      <c r="G14" s="148"/>
    </row>
    <row r="15" spans="1:37" x14ac:dyDescent="0.2">
      <c r="A15" s="727"/>
      <c r="B15" s="1093">
        <f t="shared" si="0"/>
        <v>5</v>
      </c>
      <c r="C15" s="510" t="s">
        <v>4578</v>
      </c>
      <c r="D15" s="510" t="s">
        <v>3639</v>
      </c>
      <c r="E15" s="510" t="s">
        <v>3640</v>
      </c>
      <c r="F15" s="1071" t="s">
        <v>3335</v>
      </c>
      <c r="G15" s="148"/>
    </row>
    <row r="16" spans="1:37" x14ac:dyDescent="0.2">
      <c r="A16" s="727"/>
      <c r="B16" s="1093">
        <f t="shared" si="0"/>
        <v>6</v>
      </c>
      <c r="C16" s="510" t="s">
        <v>3368</v>
      </c>
      <c r="D16" s="510" t="s">
        <v>3641</v>
      </c>
      <c r="E16" s="510" t="s">
        <v>3369</v>
      </c>
      <c r="F16" s="1071" t="s">
        <v>3335</v>
      </c>
      <c r="G16" s="148"/>
    </row>
    <row r="17" spans="1:7" x14ac:dyDescent="0.2">
      <c r="A17" s="727"/>
      <c r="B17" s="1093">
        <v>7</v>
      </c>
      <c r="C17" s="724" t="s">
        <v>3458</v>
      </c>
      <c r="D17" s="510" t="s">
        <v>3641</v>
      </c>
      <c r="E17" s="510" t="s">
        <v>3369</v>
      </c>
      <c r="F17" s="1071" t="s">
        <v>3335</v>
      </c>
      <c r="G17" s="148"/>
    </row>
    <row r="18" spans="1:7" x14ac:dyDescent="0.2">
      <c r="A18" s="727"/>
      <c r="B18" s="734"/>
      <c r="F18" s="732"/>
      <c r="G18" s="148"/>
    </row>
    <row r="19" spans="1:7" x14ac:dyDescent="0.2">
      <c r="A19" s="727"/>
      <c r="B19" s="739"/>
      <c r="C19" s="728"/>
      <c r="D19" s="728"/>
      <c r="E19" s="728"/>
      <c r="F19" s="740"/>
      <c r="G19" s="148"/>
    </row>
    <row r="20" spans="1:7" x14ac:dyDescent="0.2">
      <c r="A20" s="727"/>
      <c r="B20" s="730"/>
      <c r="C20" s="741" t="s">
        <v>3801</v>
      </c>
      <c r="D20" s="741"/>
      <c r="E20" s="741" t="s">
        <v>4306</v>
      </c>
      <c r="F20" s="742"/>
      <c r="G20" s="148"/>
    </row>
    <row r="21" spans="1:7" x14ac:dyDescent="0.2">
      <c r="A21" s="727"/>
      <c r="B21" s="734"/>
      <c r="F21" s="732"/>
      <c r="G21" s="148"/>
    </row>
    <row r="22" spans="1:7" x14ac:dyDescent="0.2">
      <c r="A22" s="727"/>
      <c r="B22" s="734"/>
      <c r="C22" s="726">
        <f>AB_Eingabe!$M$40</f>
        <v>4</v>
      </c>
      <c r="F22" s="732"/>
      <c r="G22" s="148"/>
    </row>
    <row r="23" spans="1:7" x14ac:dyDescent="0.2">
      <c r="A23" s="727"/>
      <c r="B23" s="735"/>
      <c r="C23" s="1069" t="str">
        <f>VLOOKUP($C$22,$B$10:$C$17,$C$2,FALSE)</f>
        <v>sandiger bis schluffiger Lehm, sL - uL</v>
      </c>
      <c r="D23" s="737"/>
      <c r="E23" s="736" t="str">
        <f>VLOOKUP(C22,B11:F17,E2,FALSE)</f>
        <v>mittel</v>
      </c>
      <c r="F23" s="738"/>
      <c r="G23" s="148"/>
    </row>
    <row r="24" spans="1:7" x14ac:dyDescent="0.2">
      <c r="B24" s="729"/>
      <c r="C24" s="729"/>
      <c r="D24" s="729"/>
      <c r="E24" s="729"/>
      <c r="F24" s="729"/>
    </row>
    <row r="27" spans="1:7" x14ac:dyDescent="0.2">
      <c r="B27" s="730"/>
      <c r="C27" s="741" t="s">
        <v>4705</v>
      </c>
      <c r="D27" s="741"/>
      <c r="E27" s="741" t="s">
        <v>4306</v>
      </c>
      <c r="F27" s="742"/>
    </row>
    <row r="28" spans="1:7" x14ac:dyDescent="0.2">
      <c r="B28" s="734"/>
      <c r="F28" s="732"/>
    </row>
    <row r="29" spans="1:7" x14ac:dyDescent="0.2">
      <c r="B29" s="734"/>
      <c r="C29" s="726">
        <f>GL_Eingabe!M48</f>
        <v>4</v>
      </c>
      <c r="F29" s="732"/>
    </row>
    <row r="30" spans="1:7" x14ac:dyDescent="0.2">
      <c r="B30" s="735"/>
      <c r="C30" s="1069" t="str">
        <f>VLOOKUP($C$22,$B$10:$C$17,$C$2,FALSE)</f>
        <v>sandiger bis schluffiger Lehm, sL - uL</v>
      </c>
      <c r="D30" s="737"/>
      <c r="E30" s="736" t="str">
        <f>VLOOKUP(C29,$B$11:$F$17,$E$2,FALSE)</f>
        <v>mittel</v>
      </c>
      <c r="F30" s="738"/>
    </row>
    <row r="34" spans="2:6" x14ac:dyDescent="0.2">
      <c r="B34" s="730"/>
      <c r="C34" s="741" t="s">
        <v>4706</v>
      </c>
      <c r="D34" s="741"/>
      <c r="E34" s="741" t="s">
        <v>4306</v>
      </c>
      <c r="F34" s="742"/>
    </row>
    <row r="35" spans="2:6" x14ac:dyDescent="0.2">
      <c r="B35" s="734"/>
      <c r="F35" s="732"/>
    </row>
    <row r="36" spans="2:6" x14ac:dyDescent="0.2">
      <c r="B36" s="734"/>
      <c r="C36" s="726">
        <f>OR_Eingabe!M33</f>
        <v>4</v>
      </c>
      <c r="F36" s="732"/>
    </row>
    <row r="37" spans="2:6" x14ac:dyDescent="0.2">
      <c r="B37" s="735"/>
      <c r="C37" s="1069" t="str">
        <f>VLOOKUP($C$22,$B$10:$C$17,$C$2,FALSE)</f>
        <v>sandiger bis schluffiger Lehm, sL - uL</v>
      </c>
      <c r="D37" s="737"/>
      <c r="E37" s="736" t="str">
        <f>VLOOKUP(C36,$B$11:$F$17,$E$2,FALSE)</f>
        <v>mittel</v>
      </c>
      <c r="F37" s="738"/>
    </row>
  </sheetData>
  <sheetProtection password="8677" sheet="1" objects="1" scenarios="1"/>
  <pageMargins left="0.7" right="0.7" top="0.78740157499999996" bottom="0.78740157499999996" header="0.3" footer="0.3"/>
  <pageSetup paperSize="9" orientation="portrait"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tabColor theme="6" tint="-0.249977111117893"/>
  </sheetPr>
  <dimension ref="B1:AK36"/>
  <sheetViews>
    <sheetView zoomScaleNormal="100" workbookViewId="0">
      <pane ySplit="10" topLeftCell="A11" activePane="bottomLeft" state="frozen"/>
      <selection activeCell="A173" sqref="A173"/>
      <selection pane="bottomLeft" activeCell="A173" sqref="A173"/>
    </sheetView>
  </sheetViews>
  <sheetFormatPr baseColWidth="10" defaultColWidth="11.25" defaultRowHeight="12.75" x14ac:dyDescent="0.2"/>
  <cols>
    <col min="1" max="1" width="0.375" style="656" customWidth="1"/>
    <col min="2" max="2" width="2.75" style="656" customWidth="1"/>
    <col min="3" max="3" width="4.75" style="656" customWidth="1"/>
    <col min="4" max="4" width="11.25" style="656"/>
    <col min="5" max="5" width="20.5" style="701" customWidth="1"/>
    <col min="6" max="6" width="18.25" style="702" customWidth="1"/>
    <col min="7" max="7" width="19.625" style="702" customWidth="1"/>
    <col min="8" max="8" width="17.25" style="702" customWidth="1"/>
    <col min="9" max="9" width="26" style="702" customWidth="1"/>
    <col min="10" max="16384" width="11.25" style="656"/>
  </cols>
  <sheetData>
    <row r="1" spans="2:37" s="146" customFormat="1" ht="31.7" customHeight="1" x14ac:dyDescent="0.25">
      <c r="B1" s="22"/>
      <c r="C1" s="576"/>
      <c r="E1" s="663" t="str">
        <f>Startmenue!G2</f>
        <v>Version 1.2</v>
      </c>
      <c r="G1" s="576"/>
      <c r="U1" s="576"/>
      <c r="Z1" s="595"/>
      <c r="AE1" s="576"/>
      <c r="AJ1" s="576"/>
      <c r="AK1" s="597"/>
    </row>
    <row r="2" spans="2:37" ht="13.7" x14ac:dyDescent="0.2">
      <c r="C2" s="22" t="s">
        <v>4368</v>
      </c>
      <c r="E2" s="1250" t="s">
        <v>4412</v>
      </c>
      <c r="J2" s="22"/>
    </row>
    <row r="3" spans="2:37" ht="14.25" x14ac:dyDescent="0.2">
      <c r="C3" s="481" t="s">
        <v>4369</v>
      </c>
      <c r="E3" s="1250" t="s">
        <v>4611</v>
      </c>
      <c r="J3" s="22"/>
    </row>
    <row r="4" spans="2:37" ht="14.25" x14ac:dyDescent="0.2">
      <c r="E4" s="1250" t="s">
        <v>4612</v>
      </c>
      <c r="J4" s="22"/>
    </row>
    <row r="5" spans="2:37" ht="0.75" customHeight="1" x14ac:dyDescent="0.2">
      <c r="J5" s="22"/>
    </row>
    <row r="6" spans="2:37" ht="0.75" customHeight="1" x14ac:dyDescent="0.2">
      <c r="J6" s="22"/>
    </row>
    <row r="7" spans="2:37" ht="0.75" customHeight="1" x14ac:dyDescent="0.2">
      <c r="J7" s="22"/>
    </row>
    <row r="8" spans="2:37" s="1083" customFormat="1" x14ac:dyDescent="0.2">
      <c r="D8" s="1083" t="s">
        <v>3449</v>
      </c>
      <c r="E8" s="1255" t="s">
        <v>4609</v>
      </c>
      <c r="F8" s="1094" t="s">
        <v>21</v>
      </c>
      <c r="G8" s="1094" t="s">
        <v>3454</v>
      </c>
      <c r="H8" s="1094" t="s">
        <v>3455</v>
      </c>
      <c r="I8" s="1094" t="s">
        <v>4610</v>
      </c>
    </row>
    <row r="9" spans="2:37" ht="0.75" customHeight="1" x14ac:dyDescent="0.2">
      <c r="D9" s="656" t="s">
        <v>3450</v>
      </c>
      <c r="E9" s="701" t="s">
        <v>3665</v>
      </c>
      <c r="F9" s="702" t="s">
        <v>3662</v>
      </c>
      <c r="G9" s="702" t="s">
        <v>3658</v>
      </c>
      <c r="H9" s="702" t="s">
        <v>3659</v>
      </c>
      <c r="I9" s="702" t="s">
        <v>3663</v>
      </c>
    </row>
    <row r="10" spans="2:37" s="1083" customFormat="1" x14ac:dyDescent="0.2">
      <c r="E10" s="1255"/>
      <c r="F10" s="1095" t="s">
        <v>3660</v>
      </c>
      <c r="G10" s="1095" t="s">
        <v>3660</v>
      </c>
      <c r="H10" s="1095" t="s">
        <v>3660</v>
      </c>
      <c r="I10" s="1095" t="s">
        <v>30</v>
      </c>
      <c r="M10" s="1256" t="s">
        <v>3753</v>
      </c>
    </row>
    <row r="11" spans="2:37" ht="12.95" x14ac:dyDescent="0.2">
      <c r="J11" s="656" t="s">
        <v>3344</v>
      </c>
      <c r="M11" s="703"/>
    </row>
    <row r="12" spans="2:37" ht="0.75" customHeight="1" x14ac:dyDescent="0.2">
      <c r="M12" s="703"/>
    </row>
    <row r="13" spans="2:37" x14ac:dyDescent="0.2">
      <c r="C13" s="656">
        <v>1</v>
      </c>
      <c r="D13" s="704" t="str">
        <f>Kulturen!AI13</f>
        <v>Ackerbau</v>
      </c>
      <c r="E13" s="705"/>
      <c r="F13" s="706" t="s">
        <v>4486</v>
      </c>
      <c r="G13" s="706">
        <v>0</v>
      </c>
      <c r="H13" s="1003">
        <v>4</v>
      </c>
      <c r="I13" s="706">
        <v>0</v>
      </c>
      <c r="M13" s="656" t="s">
        <v>4488</v>
      </c>
    </row>
    <row r="14" spans="2:37" ht="12.95" x14ac:dyDescent="0.2">
      <c r="C14" s="656">
        <v>1</v>
      </c>
      <c r="D14" s="704" t="str">
        <f>D13</f>
        <v>Ackerbau</v>
      </c>
      <c r="E14" s="705"/>
      <c r="F14" s="706" t="s">
        <v>4487</v>
      </c>
      <c r="G14" s="1003">
        <v>4</v>
      </c>
      <c r="H14" s="706"/>
      <c r="I14" s="706">
        <v>-20</v>
      </c>
    </row>
    <row r="17" spans="3:10" x14ac:dyDescent="0.2">
      <c r="C17" s="656">
        <v>2</v>
      </c>
      <c r="D17" s="707" t="str">
        <f>Kulturen!AI79</f>
        <v>Obst</v>
      </c>
      <c r="E17" s="708"/>
      <c r="F17" s="709" t="s">
        <v>4486</v>
      </c>
      <c r="G17" s="709">
        <v>0</v>
      </c>
      <c r="H17" s="710">
        <v>4</v>
      </c>
      <c r="I17" s="709">
        <v>0</v>
      </c>
    </row>
    <row r="18" spans="3:10" x14ac:dyDescent="0.2">
      <c r="C18" s="656">
        <v>2</v>
      </c>
      <c r="D18" s="707" t="str">
        <f>D17</f>
        <v>Obst</v>
      </c>
      <c r="E18" s="708"/>
      <c r="F18" s="709" t="s">
        <v>4487</v>
      </c>
      <c r="G18" s="709">
        <v>4.0999999999999996</v>
      </c>
      <c r="H18" s="709"/>
      <c r="I18" s="709">
        <v>-20</v>
      </c>
    </row>
    <row r="19" spans="3:10" x14ac:dyDescent="0.2">
      <c r="C19" s="656">
        <v>3</v>
      </c>
      <c r="D19" s="601" t="str">
        <f>Kulturen!AI90</f>
        <v>Reben</v>
      </c>
      <c r="E19" s="711"/>
      <c r="F19" s="712" t="s">
        <v>3769</v>
      </c>
      <c r="G19" s="712">
        <v>1.6</v>
      </c>
      <c r="H19" s="712"/>
      <c r="I19" s="712">
        <v>30</v>
      </c>
    </row>
    <row r="20" spans="3:10" x14ac:dyDescent="0.2">
      <c r="C20" s="656">
        <v>3</v>
      </c>
      <c r="D20" s="601" t="str">
        <f>D19</f>
        <v>Reben</v>
      </c>
      <c r="E20" s="711"/>
      <c r="F20" s="712" t="s">
        <v>3664</v>
      </c>
      <c r="G20" s="712"/>
      <c r="H20" s="712"/>
      <c r="I20" s="712">
        <v>30</v>
      </c>
    </row>
    <row r="21" spans="3:10" x14ac:dyDescent="0.2">
      <c r="C21" s="656">
        <v>3</v>
      </c>
      <c r="D21" s="601" t="str">
        <f>D19</f>
        <v>Reben</v>
      </c>
      <c r="E21" s="711"/>
      <c r="F21" s="712" t="s">
        <v>4487</v>
      </c>
      <c r="G21" s="712">
        <v>4.0999999999999996</v>
      </c>
      <c r="H21" s="712"/>
      <c r="I21" s="712">
        <v>-20</v>
      </c>
    </row>
    <row r="25" spans="3:10" x14ac:dyDescent="0.2">
      <c r="D25" s="704" t="s">
        <v>4491</v>
      </c>
      <c r="E25" s="705"/>
      <c r="F25" s="1251">
        <f>AB_Eingabe!$E$42*100</f>
        <v>0</v>
      </c>
      <c r="G25" s="706"/>
      <c r="H25" s="706"/>
      <c r="I25" s="706"/>
    </row>
    <row r="26" spans="3:10" x14ac:dyDescent="0.2">
      <c r="D26" s="704"/>
      <c r="E26" s="705"/>
      <c r="F26" s="1252"/>
      <c r="G26" s="706"/>
      <c r="H26" s="706"/>
      <c r="I26" s="706"/>
    </row>
    <row r="27" spans="3:10" x14ac:dyDescent="0.2">
      <c r="D27" s="704" t="s">
        <v>4116</v>
      </c>
      <c r="E27" s="705"/>
      <c r="F27" s="1252">
        <f>AB_Eingabe!$M$41</f>
        <v>2</v>
      </c>
      <c r="G27" s="706"/>
      <c r="H27" s="706"/>
      <c r="I27" s="706"/>
      <c r="J27" s="703" t="s">
        <v>4114</v>
      </c>
    </row>
    <row r="28" spans="3:10" x14ac:dyDescent="0.2">
      <c r="D28" s="704" t="s">
        <v>4117</v>
      </c>
      <c r="E28" s="705"/>
      <c r="F28" s="706"/>
      <c r="G28" s="706"/>
      <c r="H28" s="706"/>
      <c r="I28" s="706"/>
      <c r="J28" s="703" t="s">
        <v>4115</v>
      </c>
    </row>
    <row r="29" spans="3:10" x14ac:dyDescent="0.2">
      <c r="D29" s="704"/>
      <c r="E29" s="705"/>
      <c r="F29" s="706"/>
      <c r="G29" s="706"/>
      <c r="H29" s="706"/>
      <c r="I29" s="706"/>
    </row>
    <row r="30" spans="3:10" x14ac:dyDescent="0.2">
      <c r="D30" s="704"/>
      <c r="E30" s="705"/>
      <c r="F30" s="706"/>
      <c r="G30" s="706"/>
      <c r="H30" s="706"/>
      <c r="I30" s="706"/>
    </row>
    <row r="31" spans="3:10" x14ac:dyDescent="0.2">
      <c r="D31" s="704" t="s">
        <v>3766</v>
      </c>
      <c r="E31" s="705"/>
      <c r="F31" s="706" t="str">
        <f>VLOOKUP(AB_Eingabe!$M$21,Kulturen!$E$12:$F$93,Kulturen!$F$8,FALSE)</f>
        <v>auswählen !</v>
      </c>
      <c r="G31" s="706"/>
      <c r="H31" s="706"/>
      <c r="I31" s="706"/>
    </row>
    <row r="32" spans="3:10" x14ac:dyDescent="0.2">
      <c r="D32" s="704" t="s">
        <v>3767</v>
      </c>
      <c r="E32" s="705"/>
      <c r="F32" s="706">
        <f>VLOOKUP(AB_Eingabe!M21,Kulturen!E12:AJ93,Kulturen!AI8,FALSE)</f>
        <v>0</v>
      </c>
      <c r="G32" s="706"/>
      <c r="H32" s="706"/>
      <c r="I32" s="706"/>
    </row>
    <row r="33" spans="3:10" x14ac:dyDescent="0.2">
      <c r="D33" s="704"/>
      <c r="E33" s="705"/>
      <c r="F33" s="706"/>
      <c r="G33" s="706"/>
      <c r="H33" s="706"/>
      <c r="I33" s="706"/>
    </row>
    <row r="34" spans="3:10" x14ac:dyDescent="0.2">
      <c r="D34" s="715"/>
      <c r="E34" s="716"/>
      <c r="F34" s="717"/>
      <c r="G34" s="717"/>
      <c r="H34" s="717"/>
      <c r="I34" s="717"/>
    </row>
    <row r="35" spans="3:10" x14ac:dyDescent="0.2">
      <c r="C35" s="713"/>
      <c r="D35" s="1253" t="s">
        <v>3344</v>
      </c>
      <c r="E35" s="1254" t="s">
        <v>3648</v>
      </c>
      <c r="F35" s="721">
        <f>IF(OR($F$27&gt;Ackerzahl!$E$85,$F$25&gt;$H$13),$I$14,$I$13)</f>
        <v>0</v>
      </c>
      <c r="G35" s="721" t="s">
        <v>3309</v>
      </c>
      <c r="H35" s="721" t="s">
        <v>3768</v>
      </c>
      <c r="I35" s="722"/>
      <c r="J35" s="714"/>
    </row>
    <row r="36" spans="3:10" x14ac:dyDescent="0.2">
      <c r="D36" s="718"/>
      <c r="E36" s="719"/>
      <c r="F36" s="720" t="s">
        <v>4174</v>
      </c>
      <c r="G36" s="720"/>
      <c r="H36" s="720"/>
      <c r="I36" s="720"/>
    </row>
  </sheetData>
  <sheetProtection password="8677" sheet="1" objects="1" scenarios="1"/>
  <pageMargins left="0.7" right="0.7" top="0.78740157499999996" bottom="0.78740157499999996" header="0.3" footer="0.3"/>
  <pageSetup paperSize="9" orientation="portrait" verticalDpi="0" r:id="rId1"/>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0">
    <tabColor theme="6" tint="0.79998168889431442"/>
    <pageSetUpPr fitToPage="1"/>
  </sheetPr>
  <dimension ref="A1:AK275"/>
  <sheetViews>
    <sheetView zoomScaleNormal="100" workbookViewId="0">
      <pane ySplit="16" topLeftCell="A232" activePane="bottomLeft" state="frozen"/>
      <selection activeCell="A173" sqref="A173"/>
      <selection pane="bottomLeft" activeCell="A173" sqref="A173"/>
    </sheetView>
  </sheetViews>
  <sheetFormatPr baseColWidth="10" defaultRowHeight="12.75" x14ac:dyDescent="0.2"/>
  <cols>
    <col min="1" max="1" width="2.625" style="1282" customWidth="1"/>
    <col min="2" max="2" width="8.75" style="1282" customWidth="1"/>
    <col min="3" max="3" width="9" style="1282" customWidth="1"/>
    <col min="4" max="9" width="5.625" style="1282" customWidth="1"/>
    <col min="10" max="10" width="7" style="1282" customWidth="1"/>
    <col min="11" max="11" width="9.25" style="1282" customWidth="1"/>
    <col min="12" max="12" width="8.25" style="1282" customWidth="1"/>
    <col min="13" max="13" width="9.5" style="1366" customWidth="1"/>
    <col min="14" max="14" width="9.875" style="1282" customWidth="1"/>
    <col min="15" max="15" width="11.625" style="1282" customWidth="1"/>
    <col min="16" max="16" width="7.875" style="1282" customWidth="1"/>
    <col min="17" max="17" width="9.75" style="1282" customWidth="1"/>
    <col min="18" max="18" width="12.5" style="1282" customWidth="1"/>
    <col min="19" max="19" width="9.75" style="1282" customWidth="1"/>
    <col min="20" max="20" width="11.875" style="1282" customWidth="1"/>
    <col min="21" max="21" width="5" style="1282" customWidth="1"/>
    <col min="22" max="22" width="4.125" style="1282" customWidth="1"/>
    <col min="23" max="23" width="11.5" style="1282"/>
    <col min="24" max="24" width="8.5" style="1282" customWidth="1"/>
    <col min="25" max="25" width="3.25" style="1282" bestFit="1" customWidth="1"/>
    <col min="26" max="26" width="6.75" style="1282" bestFit="1" customWidth="1"/>
    <col min="27" max="27" width="3.25" style="1282" bestFit="1" customWidth="1"/>
    <col min="28" max="28" width="5.5" style="1282" customWidth="1"/>
    <col min="29" max="256" width="11.5" style="1282"/>
    <col min="257" max="257" width="2.375" style="1282" customWidth="1"/>
    <col min="258" max="258" width="8.75" style="1282" customWidth="1"/>
    <col min="259" max="259" width="9" style="1282" customWidth="1"/>
    <col min="260" max="265" width="5.625" style="1282" customWidth="1"/>
    <col min="266" max="266" width="7" style="1282" customWidth="1"/>
    <col min="267" max="267" width="9.25" style="1282" customWidth="1"/>
    <col min="268" max="268" width="8.25" style="1282" customWidth="1"/>
    <col min="269" max="269" width="9.5" style="1282" customWidth="1"/>
    <col min="270" max="270" width="9.875" style="1282" customWidth="1"/>
    <col min="271" max="272" width="7.875" style="1282" customWidth="1"/>
    <col min="273" max="275" width="9.75" style="1282" customWidth="1"/>
    <col min="276" max="276" width="11.875" style="1282" customWidth="1"/>
    <col min="277" max="277" width="5" style="1282" customWidth="1"/>
    <col min="278" max="278" width="4.125" style="1282" customWidth="1"/>
    <col min="279" max="279" width="11.5" style="1282"/>
    <col min="280" max="280" width="8.5" style="1282" customWidth="1"/>
    <col min="281" max="281" width="3.25" style="1282" bestFit="1" customWidth="1"/>
    <col min="282" max="282" width="6.75" style="1282" bestFit="1" customWidth="1"/>
    <col min="283" max="283" width="3.25" style="1282" bestFit="1" customWidth="1"/>
    <col min="284" max="284" width="5.5" style="1282" customWidth="1"/>
    <col min="285" max="512" width="11.5" style="1282"/>
    <col min="513" max="513" width="2.375" style="1282" customWidth="1"/>
    <col min="514" max="514" width="8.75" style="1282" customWidth="1"/>
    <col min="515" max="515" width="9" style="1282" customWidth="1"/>
    <col min="516" max="521" width="5.625" style="1282" customWidth="1"/>
    <col min="522" max="522" width="7" style="1282" customWidth="1"/>
    <col min="523" max="523" width="9.25" style="1282" customWidth="1"/>
    <col min="524" max="524" width="8.25" style="1282" customWidth="1"/>
    <col min="525" max="525" width="9.5" style="1282" customWidth="1"/>
    <col min="526" max="526" width="9.875" style="1282" customWidth="1"/>
    <col min="527" max="528" width="7.875" style="1282" customWidth="1"/>
    <col min="529" max="531" width="9.75" style="1282" customWidth="1"/>
    <col min="532" max="532" width="11.875" style="1282" customWidth="1"/>
    <col min="533" max="533" width="5" style="1282" customWidth="1"/>
    <col min="534" max="534" width="4.125" style="1282" customWidth="1"/>
    <col min="535" max="535" width="11.5" style="1282"/>
    <col min="536" max="536" width="8.5" style="1282" customWidth="1"/>
    <col min="537" max="537" width="3.25" style="1282" bestFit="1" customWidth="1"/>
    <col min="538" max="538" width="6.75" style="1282" bestFit="1" customWidth="1"/>
    <col min="539" max="539" width="3.25" style="1282" bestFit="1" customWidth="1"/>
    <col min="540" max="540" width="5.5" style="1282" customWidth="1"/>
    <col min="541" max="768" width="11.5" style="1282"/>
    <col min="769" max="769" width="2.375" style="1282" customWidth="1"/>
    <col min="770" max="770" width="8.75" style="1282" customWidth="1"/>
    <col min="771" max="771" width="9" style="1282" customWidth="1"/>
    <col min="772" max="777" width="5.625" style="1282" customWidth="1"/>
    <col min="778" max="778" width="7" style="1282" customWidth="1"/>
    <col min="779" max="779" width="9.25" style="1282" customWidth="1"/>
    <col min="780" max="780" width="8.25" style="1282" customWidth="1"/>
    <col min="781" max="781" width="9.5" style="1282" customWidth="1"/>
    <col min="782" max="782" width="9.875" style="1282" customWidth="1"/>
    <col min="783" max="784" width="7.875" style="1282" customWidth="1"/>
    <col min="785" max="787" width="9.75" style="1282" customWidth="1"/>
    <col min="788" max="788" width="11.875" style="1282" customWidth="1"/>
    <col min="789" max="789" width="5" style="1282" customWidth="1"/>
    <col min="790" max="790" width="4.125" style="1282" customWidth="1"/>
    <col min="791" max="791" width="11.5" style="1282"/>
    <col min="792" max="792" width="8.5" style="1282" customWidth="1"/>
    <col min="793" max="793" width="3.25" style="1282" bestFit="1" customWidth="1"/>
    <col min="794" max="794" width="6.75" style="1282" bestFit="1" customWidth="1"/>
    <col min="795" max="795" width="3.25" style="1282" bestFit="1" customWidth="1"/>
    <col min="796" max="796" width="5.5" style="1282" customWidth="1"/>
    <col min="797" max="1024" width="11.5" style="1282"/>
    <col min="1025" max="1025" width="2.375" style="1282" customWidth="1"/>
    <col min="1026" max="1026" width="8.75" style="1282" customWidth="1"/>
    <col min="1027" max="1027" width="9" style="1282" customWidth="1"/>
    <col min="1028" max="1033" width="5.625" style="1282" customWidth="1"/>
    <col min="1034" max="1034" width="7" style="1282" customWidth="1"/>
    <col min="1035" max="1035" width="9.25" style="1282" customWidth="1"/>
    <col min="1036" max="1036" width="8.25" style="1282" customWidth="1"/>
    <col min="1037" max="1037" width="9.5" style="1282" customWidth="1"/>
    <col min="1038" max="1038" width="9.875" style="1282" customWidth="1"/>
    <col min="1039" max="1040" width="7.875" style="1282" customWidth="1"/>
    <col min="1041" max="1043" width="9.75" style="1282" customWidth="1"/>
    <col min="1044" max="1044" width="11.875" style="1282" customWidth="1"/>
    <col min="1045" max="1045" width="5" style="1282" customWidth="1"/>
    <col min="1046" max="1046" width="4.125" style="1282" customWidth="1"/>
    <col min="1047" max="1047" width="11.5" style="1282"/>
    <col min="1048" max="1048" width="8.5" style="1282" customWidth="1"/>
    <col min="1049" max="1049" width="3.25" style="1282" bestFit="1" customWidth="1"/>
    <col min="1050" max="1050" width="6.75" style="1282" bestFit="1" customWidth="1"/>
    <col min="1051" max="1051" width="3.25" style="1282" bestFit="1" customWidth="1"/>
    <col min="1052" max="1052" width="5.5" style="1282" customWidth="1"/>
    <col min="1053" max="1280" width="11.5" style="1282"/>
    <col min="1281" max="1281" width="2.375" style="1282" customWidth="1"/>
    <col min="1282" max="1282" width="8.75" style="1282" customWidth="1"/>
    <col min="1283" max="1283" width="9" style="1282" customWidth="1"/>
    <col min="1284" max="1289" width="5.625" style="1282" customWidth="1"/>
    <col min="1290" max="1290" width="7" style="1282" customWidth="1"/>
    <col min="1291" max="1291" width="9.25" style="1282" customWidth="1"/>
    <col min="1292" max="1292" width="8.25" style="1282" customWidth="1"/>
    <col min="1293" max="1293" width="9.5" style="1282" customWidth="1"/>
    <col min="1294" max="1294" width="9.875" style="1282" customWidth="1"/>
    <col min="1295" max="1296" width="7.875" style="1282" customWidth="1"/>
    <col min="1297" max="1299" width="9.75" style="1282" customWidth="1"/>
    <col min="1300" max="1300" width="11.875" style="1282" customWidth="1"/>
    <col min="1301" max="1301" width="5" style="1282" customWidth="1"/>
    <col min="1302" max="1302" width="4.125" style="1282" customWidth="1"/>
    <col min="1303" max="1303" width="11.5" style="1282"/>
    <col min="1304" max="1304" width="8.5" style="1282" customWidth="1"/>
    <col min="1305" max="1305" width="3.25" style="1282" bestFit="1" customWidth="1"/>
    <col min="1306" max="1306" width="6.75" style="1282" bestFit="1" customWidth="1"/>
    <col min="1307" max="1307" width="3.25" style="1282" bestFit="1" customWidth="1"/>
    <col min="1308" max="1308" width="5.5" style="1282" customWidth="1"/>
    <col min="1309" max="1536" width="11.5" style="1282"/>
    <col min="1537" max="1537" width="2.375" style="1282" customWidth="1"/>
    <col min="1538" max="1538" width="8.75" style="1282" customWidth="1"/>
    <col min="1539" max="1539" width="9" style="1282" customWidth="1"/>
    <col min="1540" max="1545" width="5.625" style="1282" customWidth="1"/>
    <col min="1546" max="1546" width="7" style="1282" customWidth="1"/>
    <col min="1547" max="1547" width="9.25" style="1282" customWidth="1"/>
    <col min="1548" max="1548" width="8.25" style="1282" customWidth="1"/>
    <col min="1549" max="1549" width="9.5" style="1282" customWidth="1"/>
    <col min="1550" max="1550" width="9.875" style="1282" customWidth="1"/>
    <col min="1551" max="1552" width="7.875" style="1282" customWidth="1"/>
    <col min="1553" max="1555" width="9.75" style="1282" customWidth="1"/>
    <col min="1556" max="1556" width="11.875" style="1282" customWidth="1"/>
    <col min="1557" max="1557" width="5" style="1282" customWidth="1"/>
    <col min="1558" max="1558" width="4.125" style="1282" customWidth="1"/>
    <col min="1559" max="1559" width="11.5" style="1282"/>
    <col min="1560" max="1560" width="8.5" style="1282" customWidth="1"/>
    <col min="1561" max="1561" width="3.25" style="1282" bestFit="1" customWidth="1"/>
    <col min="1562" max="1562" width="6.75" style="1282" bestFit="1" customWidth="1"/>
    <col min="1563" max="1563" width="3.25" style="1282" bestFit="1" customWidth="1"/>
    <col min="1564" max="1564" width="5.5" style="1282" customWidth="1"/>
    <col min="1565" max="1792" width="11.5" style="1282"/>
    <col min="1793" max="1793" width="2.375" style="1282" customWidth="1"/>
    <col min="1794" max="1794" width="8.75" style="1282" customWidth="1"/>
    <col min="1795" max="1795" width="9" style="1282" customWidth="1"/>
    <col min="1796" max="1801" width="5.625" style="1282" customWidth="1"/>
    <col min="1802" max="1802" width="7" style="1282" customWidth="1"/>
    <col min="1803" max="1803" width="9.25" style="1282" customWidth="1"/>
    <col min="1804" max="1804" width="8.25" style="1282" customWidth="1"/>
    <col min="1805" max="1805" width="9.5" style="1282" customWidth="1"/>
    <col min="1806" max="1806" width="9.875" style="1282" customWidth="1"/>
    <col min="1807" max="1808" width="7.875" style="1282" customWidth="1"/>
    <col min="1809" max="1811" width="9.75" style="1282" customWidth="1"/>
    <col min="1812" max="1812" width="11.875" style="1282" customWidth="1"/>
    <col min="1813" max="1813" width="5" style="1282" customWidth="1"/>
    <col min="1814" max="1814" width="4.125" style="1282" customWidth="1"/>
    <col min="1815" max="1815" width="11.5" style="1282"/>
    <col min="1816" max="1816" width="8.5" style="1282" customWidth="1"/>
    <col min="1817" max="1817" width="3.25" style="1282" bestFit="1" customWidth="1"/>
    <col min="1818" max="1818" width="6.75" style="1282" bestFit="1" customWidth="1"/>
    <col min="1819" max="1819" width="3.25" style="1282" bestFit="1" customWidth="1"/>
    <col min="1820" max="1820" width="5.5" style="1282" customWidth="1"/>
    <col min="1821" max="2048" width="11.5" style="1282"/>
    <col min="2049" max="2049" width="2.375" style="1282" customWidth="1"/>
    <col min="2050" max="2050" width="8.75" style="1282" customWidth="1"/>
    <col min="2051" max="2051" width="9" style="1282" customWidth="1"/>
    <col min="2052" max="2057" width="5.625" style="1282" customWidth="1"/>
    <col min="2058" max="2058" width="7" style="1282" customWidth="1"/>
    <col min="2059" max="2059" width="9.25" style="1282" customWidth="1"/>
    <col min="2060" max="2060" width="8.25" style="1282" customWidth="1"/>
    <col min="2061" max="2061" width="9.5" style="1282" customWidth="1"/>
    <col min="2062" max="2062" width="9.875" style="1282" customWidth="1"/>
    <col min="2063" max="2064" width="7.875" style="1282" customWidth="1"/>
    <col min="2065" max="2067" width="9.75" style="1282" customWidth="1"/>
    <col min="2068" max="2068" width="11.875" style="1282" customWidth="1"/>
    <col min="2069" max="2069" width="5" style="1282" customWidth="1"/>
    <col min="2070" max="2070" width="4.125" style="1282" customWidth="1"/>
    <col min="2071" max="2071" width="11.5" style="1282"/>
    <col min="2072" max="2072" width="8.5" style="1282" customWidth="1"/>
    <col min="2073" max="2073" width="3.25" style="1282" bestFit="1" customWidth="1"/>
    <col min="2074" max="2074" width="6.75" style="1282" bestFit="1" customWidth="1"/>
    <col min="2075" max="2075" width="3.25" style="1282" bestFit="1" customWidth="1"/>
    <col min="2076" max="2076" width="5.5" style="1282" customWidth="1"/>
    <col min="2077" max="2304" width="11.5" style="1282"/>
    <col min="2305" max="2305" width="2.375" style="1282" customWidth="1"/>
    <col min="2306" max="2306" width="8.75" style="1282" customWidth="1"/>
    <col min="2307" max="2307" width="9" style="1282" customWidth="1"/>
    <col min="2308" max="2313" width="5.625" style="1282" customWidth="1"/>
    <col min="2314" max="2314" width="7" style="1282" customWidth="1"/>
    <col min="2315" max="2315" width="9.25" style="1282" customWidth="1"/>
    <col min="2316" max="2316" width="8.25" style="1282" customWidth="1"/>
    <col min="2317" max="2317" width="9.5" style="1282" customWidth="1"/>
    <col min="2318" max="2318" width="9.875" style="1282" customWidth="1"/>
    <col min="2319" max="2320" width="7.875" style="1282" customWidth="1"/>
    <col min="2321" max="2323" width="9.75" style="1282" customWidth="1"/>
    <col min="2324" max="2324" width="11.875" style="1282" customWidth="1"/>
    <col min="2325" max="2325" width="5" style="1282" customWidth="1"/>
    <col min="2326" max="2326" width="4.125" style="1282" customWidth="1"/>
    <col min="2327" max="2327" width="11.5" style="1282"/>
    <col min="2328" max="2328" width="8.5" style="1282" customWidth="1"/>
    <col min="2329" max="2329" width="3.25" style="1282" bestFit="1" customWidth="1"/>
    <col min="2330" max="2330" width="6.75" style="1282" bestFit="1" customWidth="1"/>
    <col min="2331" max="2331" width="3.25" style="1282" bestFit="1" customWidth="1"/>
    <col min="2332" max="2332" width="5.5" style="1282" customWidth="1"/>
    <col min="2333" max="2560" width="11.5" style="1282"/>
    <col min="2561" max="2561" width="2.375" style="1282" customWidth="1"/>
    <col min="2562" max="2562" width="8.75" style="1282" customWidth="1"/>
    <col min="2563" max="2563" width="9" style="1282" customWidth="1"/>
    <col min="2564" max="2569" width="5.625" style="1282" customWidth="1"/>
    <col min="2570" max="2570" width="7" style="1282" customWidth="1"/>
    <col min="2571" max="2571" width="9.25" style="1282" customWidth="1"/>
    <col min="2572" max="2572" width="8.25" style="1282" customWidth="1"/>
    <col min="2573" max="2573" width="9.5" style="1282" customWidth="1"/>
    <col min="2574" max="2574" width="9.875" style="1282" customWidth="1"/>
    <col min="2575" max="2576" width="7.875" style="1282" customWidth="1"/>
    <col min="2577" max="2579" width="9.75" style="1282" customWidth="1"/>
    <col min="2580" max="2580" width="11.875" style="1282" customWidth="1"/>
    <col min="2581" max="2581" width="5" style="1282" customWidth="1"/>
    <col min="2582" max="2582" width="4.125" style="1282" customWidth="1"/>
    <col min="2583" max="2583" width="11.5" style="1282"/>
    <col min="2584" max="2584" width="8.5" style="1282" customWidth="1"/>
    <col min="2585" max="2585" width="3.25" style="1282" bestFit="1" customWidth="1"/>
    <col min="2586" max="2586" width="6.75" style="1282" bestFit="1" customWidth="1"/>
    <col min="2587" max="2587" width="3.25" style="1282" bestFit="1" customWidth="1"/>
    <col min="2588" max="2588" width="5.5" style="1282" customWidth="1"/>
    <col min="2589" max="2816" width="11.5" style="1282"/>
    <col min="2817" max="2817" width="2.375" style="1282" customWidth="1"/>
    <col min="2818" max="2818" width="8.75" style="1282" customWidth="1"/>
    <col min="2819" max="2819" width="9" style="1282" customWidth="1"/>
    <col min="2820" max="2825" width="5.625" style="1282" customWidth="1"/>
    <col min="2826" max="2826" width="7" style="1282" customWidth="1"/>
    <col min="2827" max="2827" width="9.25" style="1282" customWidth="1"/>
    <col min="2828" max="2828" width="8.25" style="1282" customWidth="1"/>
    <col min="2829" max="2829" width="9.5" style="1282" customWidth="1"/>
    <col min="2830" max="2830" width="9.875" style="1282" customWidth="1"/>
    <col min="2831" max="2832" width="7.875" style="1282" customWidth="1"/>
    <col min="2833" max="2835" width="9.75" style="1282" customWidth="1"/>
    <col min="2836" max="2836" width="11.875" style="1282" customWidth="1"/>
    <col min="2837" max="2837" width="5" style="1282" customWidth="1"/>
    <col min="2838" max="2838" width="4.125" style="1282" customWidth="1"/>
    <col min="2839" max="2839" width="11.5" style="1282"/>
    <col min="2840" max="2840" width="8.5" style="1282" customWidth="1"/>
    <col min="2841" max="2841" width="3.25" style="1282" bestFit="1" customWidth="1"/>
    <col min="2842" max="2842" width="6.75" style="1282" bestFit="1" customWidth="1"/>
    <col min="2843" max="2843" width="3.25" style="1282" bestFit="1" customWidth="1"/>
    <col min="2844" max="2844" width="5.5" style="1282" customWidth="1"/>
    <col min="2845" max="3072" width="11.5" style="1282"/>
    <col min="3073" max="3073" width="2.375" style="1282" customWidth="1"/>
    <col min="3074" max="3074" width="8.75" style="1282" customWidth="1"/>
    <col min="3075" max="3075" width="9" style="1282" customWidth="1"/>
    <col min="3076" max="3081" width="5.625" style="1282" customWidth="1"/>
    <col min="3082" max="3082" width="7" style="1282" customWidth="1"/>
    <col min="3083" max="3083" width="9.25" style="1282" customWidth="1"/>
    <col min="3084" max="3084" width="8.25" style="1282" customWidth="1"/>
    <col min="3085" max="3085" width="9.5" style="1282" customWidth="1"/>
    <col min="3086" max="3086" width="9.875" style="1282" customWidth="1"/>
    <col min="3087" max="3088" width="7.875" style="1282" customWidth="1"/>
    <col min="3089" max="3091" width="9.75" style="1282" customWidth="1"/>
    <col min="3092" max="3092" width="11.875" style="1282" customWidth="1"/>
    <col min="3093" max="3093" width="5" style="1282" customWidth="1"/>
    <col min="3094" max="3094" width="4.125" style="1282" customWidth="1"/>
    <col min="3095" max="3095" width="11.5" style="1282"/>
    <col min="3096" max="3096" width="8.5" style="1282" customWidth="1"/>
    <col min="3097" max="3097" width="3.25" style="1282" bestFit="1" customWidth="1"/>
    <col min="3098" max="3098" width="6.75" style="1282" bestFit="1" customWidth="1"/>
    <col min="3099" max="3099" width="3.25" style="1282" bestFit="1" customWidth="1"/>
    <col min="3100" max="3100" width="5.5" style="1282" customWidth="1"/>
    <col min="3101" max="3328" width="11.5" style="1282"/>
    <col min="3329" max="3329" width="2.375" style="1282" customWidth="1"/>
    <col min="3330" max="3330" width="8.75" style="1282" customWidth="1"/>
    <col min="3331" max="3331" width="9" style="1282" customWidth="1"/>
    <col min="3332" max="3337" width="5.625" style="1282" customWidth="1"/>
    <col min="3338" max="3338" width="7" style="1282" customWidth="1"/>
    <col min="3339" max="3339" width="9.25" style="1282" customWidth="1"/>
    <col min="3340" max="3340" width="8.25" style="1282" customWidth="1"/>
    <col min="3341" max="3341" width="9.5" style="1282" customWidth="1"/>
    <col min="3342" max="3342" width="9.875" style="1282" customWidth="1"/>
    <col min="3343" max="3344" width="7.875" style="1282" customWidth="1"/>
    <col min="3345" max="3347" width="9.75" style="1282" customWidth="1"/>
    <col min="3348" max="3348" width="11.875" style="1282" customWidth="1"/>
    <col min="3349" max="3349" width="5" style="1282" customWidth="1"/>
    <col min="3350" max="3350" width="4.125" style="1282" customWidth="1"/>
    <col min="3351" max="3351" width="11.5" style="1282"/>
    <col min="3352" max="3352" width="8.5" style="1282" customWidth="1"/>
    <col min="3353" max="3353" width="3.25" style="1282" bestFit="1" customWidth="1"/>
    <col min="3354" max="3354" width="6.75" style="1282" bestFit="1" customWidth="1"/>
    <col min="3355" max="3355" width="3.25" style="1282" bestFit="1" customWidth="1"/>
    <col min="3356" max="3356" width="5.5" style="1282" customWidth="1"/>
    <col min="3357" max="3584" width="11.5" style="1282"/>
    <col min="3585" max="3585" width="2.375" style="1282" customWidth="1"/>
    <col min="3586" max="3586" width="8.75" style="1282" customWidth="1"/>
    <col min="3587" max="3587" width="9" style="1282" customWidth="1"/>
    <col min="3588" max="3593" width="5.625" style="1282" customWidth="1"/>
    <col min="3594" max="3594" width="7" style="1282" customWidth="1"/>
    <col min="3595" max="3595" width="9.25" style="1282" customWidth="1"/>
    <col min="3596" max="3596" width="8.25" style="1282" customWidth="1"/>
    <col min="3597" max="3597" width="9.5" style="1282" customWidth="1"/>
    <col min="3598" max="3598" width="9.875" style="1282" customWidth="1"/>
    <col min="3599" max="3600" width="7.875" style="1282" customWidth="1"/>
    <col min="3601" max="3603" width="9.75" style="1282" customWidth="1"/>
    <col min="3604" max="3604" width="11.875" style="1282" customWidth="1"/>
    <col min="3605" max="3605" width="5" style="1282" customWidth="1"/>
    <col min="3606" max="3606" width="4.125" style="1282" customWidth="1"/>
    <col min="3607" max="3607" width="11.5" style="1282"/>
    <col min="3608" max="3608" width="8.5" style="1282" customWidth="1"/>
    <col min="3609" max="3609" width="3.25" style="1282" bestFit="1" customWidth="1"/>
    <col min="3610" max="3610" width="6.75" style="1282" bestFit="1" customWidth="1"/>
    <col min="3611" max="3611" width="3.25" style="1282" bestFit="1" customWidth="1"/>
    <col min="3612" max="3612" width="5.5" style="1282" customWidth="1"/>
    <col min="3613" max="3840" width="11.5" style="1282"/>
    <col min="3841" max="3841" width="2.375" style="1282" customWidth="1"/>
    <col min="3842" max="3842" width="8.75" style="1282" customWidth="1"/>
    <col min="3843" max="3843" width="9" style="1282" customWidth="1"/>
    <col min="3844" max="3849" width="5.625" style="1282" customWidth="1"/>
    <col min="3850" max="3850" width="7" style="1282" customWidth="1"/>
    <col min="3851" max="3851" width="9.25" style="1282" customWidth="1"/>
    <col min="3852" max="3852" width="8.25" style="1282" customWidth="1"/>
    <col min="3853" max="3853" width="9.5" style="1282" customWidth="1"/>
    <col min="3854" max="3854" width="9.875" style="1282" customWidth="1"/>
    <col min="3855" max="3856" width="7.875" style="1282" customWidth="1"/>
    <col min="3857" max="3859" width="9.75" style="1282" customWidth="1"/>
    <col min="3860" max="3860" width="11.875" style="1282" customWidth="1"/>
    <col min="3861" max="3861" width="5" style="1282" customWidth="1"/>
    <col min="3862" max="3862" width="4.125" style="1282" customWidth="1"/>
    <col min="3863" max="3863" width="11.5" style="1282"/>
    <col min="3864" max="3864" width="8.5" style="1282" customWidth="1"/>
    <col min="3865" max="3865" width="3.25" style="1282" bestFit="1" customWidth="1"/>
    <col min="3866" max="3866" width="6.75" style="1282" bestFit="1" customWidth="1"/>
    <col min="3867" max="3867" width="3.25" style="1282" bestFit="1" customWidth="1"/>
    <col min="3868" max="3868" width="5.5" style="1282" customWidth="1"/>
    <col min="3869" max="4096" width="11.5" style="1282"/>
    <col min="4097" max="4097" width="2.375" style="1282" customWidth="1"/>
    <col min="4098" max="4098" width="8.75" style="1282" customWidth="1"/>
    <col min="4099" max="4099" width="9" style="1282" customWidth="1"/>
    <col min="4100" max="4105" width="5.625" style="1282" customWidth="1"/>
    <col min="4106" max="4106" width="7" style="1282" customWidth="1"/>
    <col min="4107" max="4107" width="9.25" style="1282" customWidth="1"/>
    <col min="4108" max="4108" width="8.25" style="1282" customWidth="1"/>
    <col min="4109" max="4109" width="9.5" style="1282" customWidth="1"/>
    <col min="4110" max="4110" width="9.875" style="1282" customWidth="1"/>
    <col min="4111" max="4112" width="7.875" style="1282" customWidth="1"/>
    <col min="4113" max="4115" width="9.75" style="1282" customWidth="1"/>
    <col min="4116" max="4116" width="11.875" style="1282" customWidth="1"/>
    <col min="4117" max="4117" width="5" style="1282" customWidth="1"/>
    <col min="4118" max="4118" width="4.125" style="1282" customWidth="1"/>
    <col min="4119" max="4119" width="11.5" style="1282"/>
    <col min="4120" max="4120" width="8.5" style="1282" customWidth="1"/>
    <col min="4121" max="4121" width="3.25" style="1282" bestFit="1" customWidth="1"/>
    <col min="4122" max="4122" width="6.75" style="1282" bestFit="1" customWidth="1"/>
    <col min="4123" max="4123" width="3.25" style="1282" bestFit="1" customWidth="1"/>
    <col min="4124" max="4124" width="5.5" style="1282" customWidth="1"/>
    <col min="4125" max="4352" width="11.5" style="1282"/>
    <col min="4353" max="4353" width="2.375" style="1282" customWidth="1"/>
    <col min="4354" max="4354" width="8.75" style="1282" customWidth="1"/>
    <col min="4355" max="4355" width="9" style="1282" customWidth="1"/>
    <col min="4356" max="4361" width="5.625" style="1282" customWidth="1"/>
    <col min="4362" max="4362" width="7" style="1282" customWidth="1"/>
    <col min="4363" max="4363" width="9.25" style="1282" customWidth="1"/>
    <col min="4364" max="4364" width="8.25" style="1282" customWidth="1"/>
    <col min="4365" max="4365" width="9.5" style="1282" customWidth="1"/>
    <col min="4366" max="4366" width="9.875" style="1282" customWidth="1"/>
    <col min="4367" max="4368" width="7.875" style="1282" customWidth="1"/>
    <col min="4369" max="4371" width="9.75" style="1282" customWidth="1"/>
    <col min="4372" max="4372" width="11.875" style="1282" customWidth="1"/>
    <col min="4373" max="4373" width="5" style="1282" customWidth="1"/>
    <col min="4374" max="4374" width="4.125" style="1282" customWidth="1"/>
    <col min="4375" max="4375" width="11.5" style="1282"/>
    <col min="4376" max="4376" width="8.5" style="1282" customWidth="1"/>
    <col min="4377" max="4377" width="3.25" style="1282" bestFit="1" customWidth="1"/>
    <col min="4378" max="4378" width="6.75" style="1282" bestFit="1" customWidth="1"/>
    <col min="4379" max="4379" width="3.25" style="1282" bestFit="1" customWidth="1"/>
    <col min="4380" max="4380" width="5.5" style="1282" customWidth="1"/>
    <col min="4381" max="4608" width="11.5" style="1282"/>
    <col min="4609" max="4609" width="2.375" style="1282" customWidth="1"/>
    <col min="4610" max="4610" width="8.75" style="1282" customWidth="1"/>
    <col min="4611" max="4611" width="9" style="1282" customWidth="1"/>
    <col min="4612" max="4617" width="5.625" style="1282" customWidth="1"/>
    <col min="4618" max="4618" width="7" style="1282" customWidth="1"/>
    <col min="4619" max="4619" width="9.25" style="1282" customWidth="1"/>
    <col min="4620" max="4620" width="8.25" style="1282" customWidth="1"/>
    <col min="4621" max="4621" width="9.5" style="1282" customWidth="1"/>
    <col min="4622" max="4622" width="9.875" style="1282" customWidth="1"/>
    <col min="4623" max="4624" width="7.875" style="1282" customWidth="1"/>
    <col min="4625" max="4627" width="9.75" style="1282" customWidth="1"/>
    <col min="4628" max="4628" width="11.875" style="1282" customWidth="1"/>
    <col min="4629" max="4629" width="5" style="1282" customWidth="1"/>
    <col min="4630" max="4630" width="4.125" style="1282" customWidth="1"/>
    <col min="4631" max="4631" width="11.5" style="1282"/>
    <col min="4632" max="4632" width="8.5" style="1282" customWidth="1"/>
    <col min="4633" max="4633" width="3.25" style="1282" bestFit="1" customWidth="1"/>
    <col min="4634" max="4634" width="6.75" style="1282" bestFit="1" customWidth="1"/>
    <col min="4635" max="4635" width="3.25" style="1282" bestFit="1" customWidth="1"/>
    <col min="4636" max="4636" width="5.5" style="1282" customWidth="1"/>
    <col min="4637" max="4864" width="11.5" style="1282"/>
    <col min="4865" max="4865" width="2.375" style="1282" customWidth="1"/>
    <col min="4866" max="4866" width="8.75" style="1282" customWidth="1"/>
    <col min="4867" max="4867" width="9" style="1282" customWidth="1"/>
    <col min="4868" max="4873" width="5.625" style="1282" customWidth="1"/>
    <col min="4874" max="4874" width="7" style="1282" customWidth="1"/>
    <col min="4875" max="4875" width="9.25" style="1282" customWidth="1"/>
    <col min="4876" max="4876" width="8.25" style="1282" customWidth="1"/>
    <col min="4877" max="4877" width="9.5" style="1282" customWidth="1"/>
    <col min="4878" max="4878" width="9.875" style="1282" customWidth="1"/>
    <col min="4879" max="4880" width="7.875" style="1282" customWidth="1"/>
    <col min="4881" max="4883" width="9.75" style="1282" customWidth="1"/>
    <col min="4884" max="4884" width="11.875" style="1282" customWidth="1"/>
    <col min="4885" max="4885" width="5" style="1282" customWidth="1"/>
    <col min="4886" max="4886" width="4.125" style="1282" customWidth="1"/>
    <col min="4887" max="4887" width="11.5" style="1282"/>
    <col min="4888" max="4888" width="8.5" style="1282" customWidth="1"/>
    <col min="4889" max="4889" width="3.25" style="1282" bestFit="1" customWidth="1"/>
    <col min="4890" max="4890" width="6.75" style="1282" bestFit="1" customWidth="1"/>
    <col min="4891" max="4891" width="3.25" style="1282" bestFit="1" customWidth="1"/>
    <col min="4892" max="4892" width="5.5" style="1282" customWidth="1"/>
    <col min="4893" max="5120" width="11.5" style="1282"/>
    <col min="5121" max="5121" width="2.375" style="1282" customWidth="1"/>
    <col min="5122" max="5122" width="8.75" style="1282" customWidth="1"/>
    <col min="5123" max="5123" width="9" style="1282" customWidth="1"/>
    <col min="5124" max="5129" width="5.625" style="1282" customWidth="1"/>
    <col min="5130" max="5130" width="7" style="1282" customWidth="1"/>
    <col min="5131" max="5131" width="9.25" style="1282" customWidth="1"/>
    <col min="5132" max="5132" width="8.25" style="1282" customWidth="1"/>
    <col min="5133" max="5133" width="9.5" style="1282" customWidth="1"/>
    <col min="5134" max="5134" width="9.875" style="1282" customWidth="1"/>
    <col min="5135" max="5136" width="7.875" style="1282" customWidth="1"/>
    <col min="5137" max="5139" width="9.75" style="1282" customWidth="1"/>
    <col min="5140" max="5140" width="11.875" style="1282" customWidth="1"/>
    <col min="5141" max="5141" width="5" style="1282" customWidth="1"/>
    <col min="5142" max="5142" width="4.125" style="1282" customWidth="1"/>
    <col min="5143" max="5143" width="11.5" style="1282"/>
    <col min="5144" max="5144" width="8.5" style="1282" customWidth="1"/>
    <col min="5145" max="5145" width="3.25" style="1282" bestFit="1" customWidth="1"/>
    <col min="5146" max="5146" width="6.75" style="1282" bestFit="1" customWidth="1"/>
    <col min="5147" max="5147" width="3.25" style="1282" bestFit="1" customWidth="1"/>
    <col min="5148" max="5148" width="5.5" style="1282" customWidth="1"/>
    <col min="5149" max="5376" width="11.5" style="1282"/>
    <col min="5377" max="5377" width="2.375" style="1282" customWidth="1"/>
    <col min="5378" max="5378" width="8.75" style="1282" customWidth="1"/>
    <col min="5379" max="5379" width="9" style="1282" customWidth="1"/>
    <col min="5380" max="5385" width="5.625" style="1282" customWidth="1"/>
    <col min="5386" max="5386" width="7" style="1282" customWidth="1"/>
    <col min="5387" max="5387" width="9.25" style="1282" customWidth="1"/>
    <col min="5388" max="5388" width="8.25" style="1282" customWidth="1"/>
    <col min="5389" max="5389" width="9.5" style="1282" customWidth="1"/>
    <col min="5390" max="5390" width="9.875" style="1282" customWidth="1"/>
    <col min="5391" max="5392" width="7.875" style="1282" customWidth="1"/>
    <col min="5393" max="5395" width="9.75" style="1282" customWidth="1"/>
    <col min="5396" max="5396" width="11.875" style="1282" customWidth="1"/>
    <col min="5397" max="5397" width="5" style="1282" customWidth="1"/>
    <col min="5398" max="5398" width="4.125" style="1282" customWidth="1"/>
    <col min="5399" max="5399" width="11.5" style="1282"/>
    <col min="5400" max="5400" width="8.5" style="1282" customWidth="1"/>
    <col min="5401" max="5401" width="3.25" style="1282" bestFit="1" customWidth="1"/>
    <col min="5402" max="5402" width="6.75" style="1282" bestFit="1" customWidth="1"/>
    <col min="5403" max="5403" width="3.25" style="1282" bestFit="1" customWidth="1"/>
    <col min="5404" max="5404" width="5.5" style="1282" customWidth="1"/>
    <col min="5405" max="5632" width="11.5" style="1282"/>
    <col min="5633" max="5633" width="2.375" style="1282" customWidth="1"/>
    <col min="5634" max="5634" width="8.75" style="1282" customWidth="1"/>
    <col min="5635" max="5635" width="9" style="1282" customWidth="1"/>
    <col min="5636" max="5641" width="5.625" style="1282" customWidth="1"/>
    <col min="5642" max="5642" width="7" style="1282" customWidth="1"/>
    <col min="5643" max="5643" width="9.25" style="1282" customWidth="1"/>
    <col min="5644" max="5644" width="8.25" style="1282" customWidth="1"/>
    <col min="5645" max="5645" width="9.5" style="1282" customWidth="1"/>
    <col min="5646" max="5646" width="9.875" style="1282" customWidth="1"/>
    <col min="5647" max="5648" width="7.875" style="1282" customWidth="1"/>
    <col min="5649" max="5651" width="9.75" style="1282" customWidth="1"/>
    <col min="5652" max="5652" width="11.875" style="1282" customWidth="1"/>
    <col min="5653" max="5653" width="5" style="1282" customWidth="1"/>
    <col min="5654" max="5654" width="4.125" style="1282" customWidth="1"/>
    <col min="5655" max="5655" width="11.5" style="1282"/>
    <col min="5656" max="5656" width="8.5" style="1282" customWidth="1"/>
    <col min="5657" max="5657" width="3.25" style="1282" bestFit="1" customWidth="1"/>
    <col min="5658" max="5658" width="6.75" style="1282" bestFit="1" customWidth="1"/>
    <col min="5659" max="5659" width="3.25" style="1282" bestFit="1" customWidth="1"/>
    <col min="5660" max="5660" width="5.5" style="1282" customWidth="1"/>
    <col min="5661" max="5888" width="11.5" style="1282"/>
    <col min="5889" max="5889" width="2.375" style="1282" customWidth="1"/>
    <col min="5890" max="5890" width="8.75" style="1282" customWidth="1"/>
    <col min="5891" max="5891" width="9" style="1282" customWidth="1"/>
    <col min="5892" max="5897" width="5.625" style="1282" customWidth="1"/>
    <col min="5898" max="5898" width="7" style="1282" customWidth="1"/>
    <col min="5899" max="5899" width="9.25" style="1282" customWidth="1"/>
    <col min="5900" max="5900" width="8.25" style="1282" customWidth="1"/>
    <col min="5901" max="5901" width="9.5" style="1282" customWidth="1"/>
    <col min="5902" max="5902" width="9.875" style="1282" customWidth="1"/>
    <col min="5903" max="5904" width="7.875" style="1282" customWidth="1"/>
    <col min="5905" max="5907" width="9.75" style="1282" customWidth="1"/>
    <col min="5908" max="5908" width="11.875" style="1282" customWidth="1"/>
    <col min="5909" max="5909" width="5" style="1282" customWidth="1"/>
    <col min="5910" max="5910" width="4.125" style="1282" customWidth="1"/>
    <col min="5911" max="5911" width="11.5" style="1282"/>
    <col min="5912" max="5912" width="8.5" style="1282" customWidth="1"/>
    <col min="5913" max="5913" width="3.25" style="1282" bestFit="1" customWidth="1"/>
    <col min="5914" max="5914" width="6.75" style="1282" bestFit="1" customWidth="1"/>
    <col min="5915" max="5915" width="3.25" style="1282" bestFit="1" customWidth="1"/>
    <col min="5916" max="5916" width="5.5" style="1282" customWidth="1"/>
    <col min="5917" max="6144" width="11.5" style="1282"/>
    <col min="6145" max="6145" width="2.375" style="1282" customWidth="1"/>
    <col min="6146" max="6146" width="8.75" style="1282" customWidth="1"/>
    <col min="6147" max="6147" width="9" style="1282" customWidth="1"/>
    <col min="6148" max="6153" width="5.625" style="1282" customWidth="1"/>
    <col min="6154" max="6154" width="7" style="1282" customWidth="1"/>
    <col min="6155" max="6155" width="9.25" style="1282" customWidth="1"/>
    <col min="6156" max="6156" width="8.25" style="1282" customWidth="1"/>
    <col min="6157" max="6157" width="9.5" style="1282" customWidth="1"/>
    <col min="6158" max="6158" width="9.875" style="1282" customWidth="1"/>
    <col min="6159" max="6160" width="7.875" style="1282" customWidth="1"/>
    <col min="6161" max="6163" width="9.75" style="1282" customWidth="1"/>
    <col min="6164" max="6164" width="11.875" style="1282" customWidth="1"/>
    <col min="6165" max="6165" width="5" style="1282" customWidth="1"/>
    <col min="6166" max="6166" width="4.125" style="1282" customWidth="1"/>
    <col min="6167" max="6167" width="11.5" style="1282"/>
    <col min="6168" max="6168" width="8.5" style="1282" customWidth="1"/>
    <col min="6169" max="6169" width="3.25" style="1282" bestFit="1" customWidth="1"/>
    <col min="6170" max="6170" width="6.75" style="1282" bestFit="1" customWidth="1"/>
    <col min="6171" max="6171" width="3.25" style="1282" bestFit="1" customWidth="1"/>
    <col min="6172" max="6172" width="5.5" style="1282" customWidth="1"/>
    <col min="6173" max="6400" width="11.5" style="1282"/>
    <col min="6401" max="6401" width="2.375" style="1282" customWidth="1"/>
    <col min="6402" max="6402" width="8.75" style="1282" customWidth="1"/>
    <col min="6403" max="6403" width="9" style="1282" customWidth="1"/>
    <col min="6404" max="6409" width="5.625" style="1282" customWidth="1"/>
    <col min="6410" max="6410" width="7" style="1282" customWidth="1"/>
    <col min="6411" max="6411" width="9.25" style="1282" customWidth="1"/>
    <col min="6412" max="6412" width="8.25" style="1282" customWidth="1"/>
    <col min="6413" max="6413" width="9.5" style="1282" customWidth="1"/>
    <col min="6414" max="6414" width="9.875" style="1282" customWidth="1"/>
    <col min="6415" max="6416" width="7.875" style="1282" customWidth="1"/>
    <col min="6417" max="6419" width="9.75" style="1282" customWidth="1"/>
    <col min="6420" max="6420" width="11.875" style="1282" customWidth="1"/>
    <col min="6421" max="6421" width="5" style="1282" customWidth="1"/>
    <col min="6422" max="6422" width="4.125" style="1282" customWidth="1"/>
    <col min="6423" max="6423" width="11.5" style="1282"/>
    <col min="6424" max="6424" width="8.5" style="1282" customWidth="1"/>
    <col min="6425" max="6425" width="3.25" style="1282" bestFit="1" customWidth="1"/>
    <col min="6426" max="6426" width="6.75" style="1282" bestFit="1" customWidth="1"/>
    <col min="6427" max="6427" width="3.25" style="1282" bestFit="1" customWidth="1"/>
    <col min="6428" max="6428" width="5.5" style="1282" customWidth="1"/>
    <col min="6429" max="6656" width="11.5" style="1282"/>
    <col min="6657" max="6657" width="2.375" style="1282" customWidth="1"/>
    <col min="6658" max="6658" width="8.75" style="1282" customWidth="1"/>
    <col min="6659" max="6659" width="9" style="1282" customWidth="1"/>
    <col min="6660" max="6665" width="5.625" style="1282" customWidth="1"/>
    <col min="6666" max="6666" width="7" style="1282" customWidth="1"/>
    <col min="6667" max="6667" width="9.25" style="1282" customWidth="1"/>
    <col min="6668" max="6668" width="8.25" style="1282" customWidth="1"/>
    <col min="6669" max="6669" width="9.5" style="1282" customWidth="1"/>
    <col min="6670" max="6670" width="9.875" style="1282" customWidth="1"/>
    <col min="6671" max="6672" width="7.875" style="1282" customWidth="1"/>
    <col min="6673" max="6675" width="9.75" style="1282" customWidth="1"/>
    <col min="6676" max="6676" width="11.875" style="1282" customWidth="1"/>
    <col min="6677" max="6677" width="5" style="1282" customWidth="1"/>
    <col min="6678" max="6678" width="4.125" style="1282" customWidth="1"/>
    <col min="6679" max="6679" width="11.5" style="1282"/>
    <col min="6680" max="6680" width="8.5" style="1282" customWidth="1"/>
    <col min="6681" max="6681" width="3.25" style="1282" bestFit="1" customWidth="1"/>
    <col min="6682" max="6682" width="6.75" style="1282" bestFit="1" customWidth="1"/>
    <col min="6683" max="6683" width="3.25" style="1282" bestFit="1" customWidth="1"/>
    <col min="6684" max="6684" width="5.5" style="1282" customWidth="1"/>
    <col min="6685" max="6912" width="11.5" style="1282"/>
    <col min="6913" max="6913" width="2.375" style="1282" customWidth="1"/>
    <col min="6914" max="6914" width="8.75" style="1282" customWidth="1"/>
    <col min="6915" max="6915" width="9" style="1282" customWidth="1"/>
    <col min="6916" max="6921" width="5.625" style="1282" customWidth="1"/>
    <col min="6922" max="6922" width="7" style="1282" customWidth="1"/>
    <col min="6923" max="6923" width="9.25" style="1282" customWidth="1"/>
    <col min="6924" max="6924" width="8.25" style="1282" customWidth="1"/>
    <col min="6925" max="6925" width="9.5" style="1282" customWidth="1"/>
    <col min="6926" max="6926" width="9.875" style="1282" customWidth="1"/>
    <col min="6927" max="6928" width="7.875" style="1282" customWidth="1"/>
    <col min="6929" max="6931" width="9.75" style="1282" customWidth="1"/>
    <col min="6932" max="6932" width="11.875" style="1282" customWidth="1"/>
    <col min="6933" max="6933" width="5" style="1282" customWidth="1"/>
    <col min="6934" max="6934" width="4.125" style="1282" customWidth="1"/>
    <col min="6935" max="6935" width="11.5" style="1282"/>
    <col min="6936" max="6936" width="8.5" style="1282" customWidth="1"/>
    <col min="6937" max="6937" width="3.25" style="1282" bestFit="1" customWidth="1"/>
    <col min="6938" max="6938" width="6.75" style="1282" bestFit="1" customWidth="1"/>
    <col min="6939" max="6939" width="3.25" style="1282" bestFit="1" customWidth="1"/>
    <col min="6940" max="6940" width="5.5" style="1282" customWidth="1"/>
    <col min="6941" max="7168" width="11.5" style="1282"/>
    <col min="7169" max="7169" width="2.375" style="1282" customWidth="1"/>
    <col min="7170" max="7170" width="8.75" style="1282" customWidth="1"/>
    <col min="7171" max="7171" width="9" style="1282" customWidth="1"/>
    <col min="7172" max="7177" width="5.625" style="1282" customWidth="1"/>
    <col min="7178" max="7178" width="7" style="1282" customWidth="1"/>
    <col min="7179" max="7179" width="9.25" style="1282" customWidth="1"/>
    <col min="7180" max="7180" width="8.25" style="1282" customWidth="1"/>
    <col min="7181" max="7181" width="9.5" style="1282" customWidth="1"/>
    <col min="7182" max="7182" width="9.875" style="1282" customWidth="1"/>
    <col min="7183" max="7184" width="7.875" style="1282" customWidth="1"/>
    <col min="7185" max="7187" width="9.75" style="1282" customWidth="1"/>
    <col min="7188" max="7188" width="11.875" style="1282" customWidth="1"/>
    <col min="7189" max="7189" width="5" style="1282" customWidth="1"/>
    <col min="7190" max="7190" width="4.125" style="1282" customWidth="1"/>
    <col min="7191" max="7191" width="11.5" style="1282"/>
    <col min="7192" max="7192" width="8.5" style="1282" customWidth="1"/>
    <col min="7193" max="7193" width="3.25" style="1282" bestFit="1" customWidth="1"/>
    <col min="7194" max="7194" width="6.75" style="1282" bestFit="1" customWidth="1"/>
    <col min="7195" max="7195" width="3.25" style="1282" bestFit="1" customWidth="1"/>
    <col min="7196" max="7196" width="5.5" style="1282" customWidth="1"/>
    <col min="7197" max="7424" width="11.5" style="1282"/>
    <col min="7425" max="7425" width="2.375" style="1282" customWidth="1"/>
    <col min="7426" max="7426" width="8.75" style="1282" customWidth="1"/>
    <col min="7427" max="7427" width="9" style="1282" customWidth="1"/>
    <col min="7428" max="7433" width="5.625" style="1282" customWidth="1"/>
    <col min="7434" max="7434" width="7" style="1282" customWidth="1"/>
    <col min="7435" max="7435" width="9.25" style="1282" customWidth="1"/>
    <col min="7436" max="7436" width="8.25" style="1282" customWidth="1"/>
    <col min="7437" max="7437" width="9.5" style="1282" customWidth="1"/>
    <col min="7438" max="7438" width="9.875" style="1282" customWidth="1"/>
    <col min="7439" max="7440" width="7.875" style="1282" customWidth="1"/>
    <col min="7441" max="7443" width="9.75" style="1282" customWidth="1"/>
    <col min="7444" max="7444" width="11.875" style="1282" customWidth="1"/>
    <col min="7445" max="7445" width="5" style="1282" customWidth="1"/>
    <col min="7446" max="7446" width="4.125" style="1282" customWidth="1"/>
    <col min="7447" max="7447" width="11.5" style="1282"/>
    <col min="7448" max="7448" width="8.5" style="1282" customWidth="1"/>
    <col min="7449" max="7449" width="3.25" style="1282" bestFit="1" customWidth="1"/>
    <col min="7450" max="7450" width="6.75" style="1282" bestFit="1" customWidth="1"/>
    <col min="7451" max="7451" width="3.25" style="1282" bestFit="1" customWidth="1"/>
    <col min="7452" max="7452" width="5.5" style="1282" customWidth="1"/>
    <col min="7453" max="7680" width="11.5" style="1282"/>
    <col min="7681" max="7681" width="2.375" style="1282" customWidth="1"/>
    <col min="7682" max="7682" width="8.75" style="1282" customWidth="1"/>
    <col min="7683" max="7683" width="9" style="1282" customWidth="1"/>
    <col min="7684" max="7689" width="5.625" style="1282" customWidth="1"/>
    <col min="7690" max="7690" width="7" style="1282" customWidth="1"/>
    <col min="7691" max="7691" width="9.25" style="1282" customWidth="1"/>
    <col min="7692" max="7692" width="8.25" style="1282" customWidth="1"/>
    <col min="7693" max="7693" width="9.5" style="1282" customWidth="1"/>
    <col min="7694" max="7694" width="9.875" style="1282" customWidth="1"/>
    <col min="7695" max="7696" width="7.875" style="1282" customWidth="1"/>
    <col min="7697" max="7699" width="9.75" style="1282" customWidth="1"/>
    <col min="7700" max="7700" width="11.875" style="1282" customWidth="1"/>
    <col min="7701" max="7701" width="5" style="1282" customWidth="1"/>
    <col min="7702" max="7702" width="4.125" style="1282" customWidth="1"/>
    <col min="7703" max="7703" width="11.5" style="1282"/>
    <col min="7704" max="7704" width="8.5" style="1282" customWidth="1"/>
    <col min="7705" max="7705" width="3.25" style="1282" bestFit="1" customWidth="1"/>
    <col min="7706" max="7706" width="6.75" style="1282" bestFit="1" customWidth="1"/>
    <col min="7707" max="7707" width="3.25" style="1282" bestFit="1" customWidth="1"/>
    <col min="7708" max="7708" width="5.5" style="1282" customWidth="1"/>
    <col min="7709" max="7936" width="11.5" style="1282"/>
    <col min="7937" max="7937" width="2.375" style="1282" customWidth="1"/>
    <col min="7938" max="7938" width="8.75" style="1282" customWidth="1"/>
    <col min="7939" max="7939" width="9" style="1282" customWidth="1"/>
    <col min="7940" max="7945" width="5.625" style="1282" customWidth="1"/>
    <col min="7946" max="7946" width="7" style="1282" customWidth="1"/>
    <col min="7947" max="7947" width="9.25" style="1282" customWidth="1"/>
    <col min="7948" max="7948" width="8.25" style="1282" customWidth="1"/>
    <col min="7949" max="7949" width="9.5" style="1282" customWidth="1"/>
    <col min="7950" max="7950" width="9.875" style="1282" customWidth="1"/>
    <col min="7951" max="7952" width="7.875" style="1282" customWidth="1"/>
    <col min="7953" max="7955" width="9.75" style="1282" customWidth="1"/>
    <col min="7956" max="7956" width="11.875" style="1282" customWidth="1"/>
    <col min="7957" max="7957" width="5" style="1282" customWidth="1"/>
    <col min="7958" max="7958" width="4.125" style="1282" customWidth="1"/>
    <col min="7959" max="7959" width="11.5" style="1282"/>
    <col min="7960" max="7960" width="8.5" style="1282" customWidth="1"/>
    <col min="7961" max="7961" width="3.25" style="1282" bestFit="1" customWidth="1"/>
    <col min="7962" max="7962" width="6.75" style="1282" bestFit="1" customWidth="1"/>
    <col min="7963" max="7963" width="3.25" style="1282" bestFit="1" customWidth="1"/>
    <col min="7964" max="7964" width="5.5" style="1282" customWidth="1"/>
    <col min="7965" max="8192" width="11.5" style="1282"/>
    <col min="8193" max="8193" width="2.375" style="1282" customWidth="1"/>
    <col min="8194" max="8194" width="8.75" style="1282" customWidth="1"/>
    <col min="8195" max="8195" width="9" style="1282" customWidth="1"/>
    <col min="8196" max="8201" width="5.625" style="1282" customWidth="1"/>
    <col min="8202" max="8202" width="7" style="1282" customWidth="1"/>
    <col min="8203" max="8203" width="9.25" style="1282" customWidth="1"/>
    <col min="8204" max="8204" width="8.25" style="1282" customWidth="1"/>
    <col min="8205" max="8205" width="9.5" style="1282" customWidth="1"/>
    <col min="8206" max="8206" width="9.875" style="1282" customWidth="1"/>
    <col min="8207" max="8208" width="7.875" style="1282" customWidth="1"/>
    <col min="8209" max="8211" width="9.75" style="1282" customWidth="1"/>
    <col min="8212" max="8212" width="11.875" style="1282" customWidth="1"/>
    <col min="8213" max="8213" width="5" style="1282" customWidth="1"/>
    <col min="8214" max="8214" width="4.125" style="1282" customWidth="1"/>
    <col min="8215" max="8215" width="11.5" style="1282"/>
    <col min="8216" max="8216" width="8.5" style="1282" customWidth="1"/>
    <col min="8217" max="8217" width="3.25" style="1282" bestFit="1" customWidth="1"/>
    <col min="8218" max="8218" width="6.75" style="1282" bestFit="1" customWidth="1"/>
    <col min="8219" max="8219" width="3.25" style="1282" bestFit="1" customWidth="1"/>
    <col min="8220" max="8220" width="5.5" style="1282" customWidth="1"/>
    <col min="8221" max="8448" width="11.5" style="1282"/>
    <col min="8449" max="8449" width="2.375" style="1282" customWidth="1"/>
    <col min="8450" max="8450" width="8.75" style="1282" customWidth="1"/>
    <col min="8451" max="8451" width="9" style="1282" customWidth="1"/>
    <col min="8452" max="8457" width="5.625" style="1282" customWidth="1"/>
    <col min="8458" max="8458" width="7" style="1282" customWidth="1"/>
    <col min="8459" max="8459" width="9.25" style="1282" customWidth="1"/>
    <col min="8460" max="8460" width="8.25" style="1282" customWidth="1"/>
    <col min="8461" max="8461" width="9.5" style="1282" customWidth="1"/>
    <col min="8462" max="8462" width="9.875" style="1282" customWidth="1"/>
    <col min="8463" max="8464" width="7.875" style="1282" customWidth="1"/>
    <col min="8465" max="8467" width="9.75" style="1282" customWidth="1"/>
    <col min="8468" max="8468" width="11.875" style="1282" customWidth="1"/>
    <col min="8469" max="8469" width="5" style="1282" customWidth="1"/>
    <col min="8470" max="8470" width="4.125" style="1282" customWidth="1"/>
    <col min="8471" max="8471" width="11.5" style="1282"/>
    <col min="8472" max="8472" width="8.5" style="1282" customWidth="1"/>
    <col min="8473" max="8473" width="3.25" style="1282" bestFit="1" customWidth="1"/>
    <col min="8474" max="8474" width="6.75" style="1282" bestFit="1" customWidth="1"/>
    <col min="8475" max="8475" width="3.25" style="1282" bestFit="1" customWidth="1"/>
    <col min="8476" max="8476" width="5.5" style="1282" customWidth="1"/>
    <col min="8477" max="8704" width="11.5" style="1282"/>
    <col min="8705" max="8705" width="2.375" style="1282" customWidth="1"/>
    <col min="8706" max="8706" width="8.75" style="1282" customWidth="1"/>
    <col min="8707" max="8707" width="9" style="1282" customWidth="1"/>
    <col min="8708" max="8713" width="5.625" style="1282" customWidth="1"/>
    <col min="8714" max="8714" width="7" style="1282" customWidth="1"/>
    <col min="8715" max="8715" width="9.25" style="1282" customWidth="1"/>
    <col min="8716" max="8716" width="8.25" style="1282" customWidth="1"/>
    <col min="8717" max="8717" width="9.5" style="1282" customWidth="1"/>
    <col min="8718" max="8718" width="9.875" style="1282" customWidth="1"/>
    <col min="8719" max="8720" width="7.875" style="1282" customWidth="1"/>
    <col min="8721" max="8723" width="9.75" style="1282" customWidth="1"/>
    <col min="8724" max="8724" width="11.875" style="1282" customWidth="1"/>
    <col min="8725" max="8725" width="5" style="1282" customWidth="1"/>
    <col min="8726" max="8726" width="4.125" style="1282" customWidth="1"/>
    <col min="8727" max="8727" width="11.5" style="1282"/>
    <col min="8728" max="8728" width="8.5" style="1282" customWidth="1"/>
    <col min="8729" max="8729" width="3.25" style="1282" bestFit="1" customWidth="1"/>
    <col min="8730" max="8730" width="6.75" style="1282" bestFit="1" customWidth="1"/>
    <col min="8731" max="8731" width="3.25" style="1282" bestFit="1" customWidth="1"/>
    <col min="8732" max="8732" width="5.5" style="1282" customWidth="1"/>
    <col min="8733" max="8960" width="11.5" style="1282"/>
    <col min="8961" max="8961" width="2.375" style="1282" customWidth="1"/>
    <col min="8962" max="8962" width="8.75" style="1282" customWidth="1"/>
    <col min="8963" max="8963" width="9" style="1282" customWidth="1"/>
    <col min="8964" max="8969" width="5.625" style="1282" customWidth="1"/>
    <col min="8970" max="8970" width="7" style="1282" customWidth="1"/>
    <col min="8971" max="8971" width="9.25" style="1282" customWidth="1"/>
    <col min="8972" max="8972" width="8.25" style="1282" customWidth="1"/>
    <col min="8973" max="8973" width="9.5" style="1282" customWidth="1"/>
    <col min="8974" max="8974" width="9.875" style="1282" customWidth="1"/>
    <col min="8975" max="8976" width="7.875" style="1282" customWidth="1"/>
    <col min="8977" max="8979" width="9.75" style="1282" customWidth="1"/>
    <col min="8980" max="8980" width="11.875" style="1282" customWidth="1"/>
    <col min="8981" max="8981" width="5" style="1282" customWidth="1"/>
    <col min="8982" max="8982" width="4.125" style="1282" customWidth="1"/>
    <col min="8983" max="8983" width="11.5" style="1282"/>
    <col min="8984" max="8984" width="8.5" style="1282" customWidth="1"/>
    <col min="8985" max="8985" width="3.25" style="1282" bestFit="1" customWidth="1"/>
    <col min="8986" max="8986" width="6.75" style="1282" bestFit="1" customWidth="1"/>
    <col min="8987" max="8987" width="3.25" style="1282" bestFit="1" customWidth="1"/>
    <col min="8988" max="8988" width="5.5" style="1282" customWidth="1"/>
    <col min="8989" max="9216" width="11.5" style="1282"/>
    <col min="9217" max="9217" width="2.375" style="1282" customWidth="1"/>
    <col min="9218" max="9218" width="8.75" style="1282" customWidth="1"/>
    <col min="9219" max="9219" width="9" style="1282" customWidth="1"/>
    <col min="9220" max="9225" width="5.625" style="1282" customWidth="1"/>
    <col min="9226" max="9226" width="7" style="1282" customWidth="1"/>
    <col min="9227" max="9227" width="9.25" style="1282" customWidth="1"/>
    <col min="9228" max="9228" width="8.25" style="1282" customWidth="1"/>
    <col min="9229" max="9229" width="9.5" style="1282" customWidth="1"/>
    <col min="9230" max="9230" width="9.875" style="1282" customWidth="1"/>
    <col min="9231" max="9232" width="7.875" style="1282" customWidth="1"/>
    <col min="9233" max="9235" width="9.75" style="1282" customWidth="1"/>
    <col min="9236" max="9236" width="11.875" style="1282" customWidth="1"/>
    <col min="9237" max="9237" width="5" style="1282" customWidth="1"/>
    <col min="9238" max="9238" width="4.125" style="1282" customWidth="1"/>
    <col min="9239" max="9239" width="11.5" style="1282"/>
    <col min="9240" max="9240" width="8.5" style="1282" customWidth="1"/>
    <col min="9241" max="9241" width="3.25" style="1282" bestFit="1" customWidth="1"/>
    <col min="9242" max="9242" width="6.75" style="1282" bestFit="1" customWidth="1"/>
    <col min="9243" max="9243" width="3.25" style="1282" bestFit="1" customWidth="1"/>
    <col min="9244" max="9244" width="5.5" style="1282" customWidth="1"/>
    <col min="9245" max="9472" width="11.5" style="1282"/>
    <col min="9473" max="9473" width="2.375" style="1282" customWidth="1"/>
    <col min="9474" max="9474" width="8.75" style="1282" customWidth="1"/>
    <col min="9475" max="9475" width="9" style="1282" customWidth="1"/>
    <col min="9476" max="9481" width="5.625" style="1282" customWidth="1"/>
    <col min="9482" max="9482" width="7" style="1282" customWidth="1"/>
    <col min="9483" max="9483" width="9.25" style="1282" customWidth="1"/>
    <col min="9484" max="9484" width="8.25" style="1282" customWidth="1"/>
    <col min="9485" max="9485" width="9.5" style="1282" customWidth="1"/>
    <col min="9486" max="9486" width="9.875" style="1282" customWidth="1"/>
    <col min="9487" max="9488" width="7.875" style="1282" customWidth="1"/>
    <col min="9489" max="9491" width="9.75" style="1282" customWidth="1"/>
    <col min="9492" max="9492" width="11.875" style="1282" customWidth="1"/>
    <col min="9493" max="9493" width="5" style="1282" customWidth="1"/>
    <col min="9494" max="9494" width="4.125" style="1282" customWidth="1"/>
    <col min="9495" max="9495" width="11.5" style="1282"/>
    <col min="9496" max="9496" width="8.5" style="1282" customWidth="1"/>
    <col min="9497" max="9497" width="3.25" style="1282" bestFit="1" customWidth="1"/>
    <col min="9498" max="9498" width="6.75" style="1282" bestFit="1" customWidth="1"/>
    <col min="9499" max="9499" width="3.25" style="1282" bestFit="1" customWidth="1"/>
    <col min="9500" max="9500" width="5.5" style="1282" customWidth="1"/>
    <col min="9501" max="9728" width="11.5" style="1282"/>
    <col min="9729" max="9729" width="2.375" style="1282" customWidth="1"/>
    <col min="9730" max="9730" width="8.75" style="1282" customWidth="1"/>
    <col min="9731" max="9731" width="9" style="1282" customWidth="1"/>
    <col min="9732" max="9737" width="5.625" style="1282" customWidth="1"/>
    <col min="9738" max="9738" width="7" style="1282" customWidth="1"/>
    <col min="9739" max="9739" width="9.25" style="1282" customWidth="1"/>
    <col min="9740" max="9740" width="8.25" style="1282" customWidth="1"/>
    <col min="9741" max="9741" width="9.5" style="1282" customWidth="1"/>
    <col min="9742" max="9742" width="9.875" style="1282" customWidth="1"/>
    <col min="9743" max="9744" width="7.875" style="1282" customWidth="1"/>
    <col min="9745" max="9747" width="9.75" style="1282" customWidth="1"/>
    <col min="9748" max="9748" width="11.875" style="1282" customWidth="1"/>
    <col min="9749" max="9749" width="5" style="1282" customWidth="1"/>
    <col min="9750" max="9750" width="4.125" style="1282" customWidth="1"/>
    <col min="9751" max="9751" width="11.5" style="1282"/>
    <col min="9752" max="9752" width="8.5" style="1282" customWidth="1"/>
    <col min="9753" max="9753" width="3.25" style="1282" bestFit="1" customWidth="1"/>
    <col min="9754" max="9754" width="6.75" style="1282" bestFit="1" customWidth="1"/>
    <col min="9755" max="9755" width="3.25" style="1282" bestFit="1" customWidth="1"/>
    <col min="9756" max="9756" width="5.5" style="1282" customWidth="1"/>
    <col min="9757" max="9984" width="11.5" style="1282"/>
    <col min="9985" max="9985" width="2.375" style="1282" customWidth="1"/>
    <col min="9986" max="9986" width="8.75" style="1282" customWidth="1"/>
    <col min="9987" max="9987" width="9" style="1282" customWidth="1"/>
    <col min="9988" max="9993" width="5.625" style="1282" customWidth="1"/>
    <col min="9994" max="9994" width="7" style="1282" customWidth="1"/>
    <col min="9995" max="9995" width="9.25" style="1282" customWidth="1"/>
    <col min="9996" max="9996" width="8.25" style="1282" customWidth="1"/>
    <col min="9997" max="9997" width="9.5" style="1282" customWidth="1"/>
    <col min="9998" max="9998" width="9.875" style="1282" customWidth="1"/>
    <col min="9999" max="10000" width="7.875" style="1282" customWidth="1"/>
    <col min="10001" max="10003" width="9.75" style="1282" customWidth="1"/>
    <col min="10004" max="10004" width="11.875" style="1282" customWidth="1"/>
    <col min="10005" max="10005" width="5" style="1282" customWidth="1"/>
    <col min="10006" max="10006" width="4.125" style="1282" customWidth="1"/>
    <col min="10007" max="10007" width="11.5" style="1282"/>
    <col min="10008" max="10008" width="8.5" style="1282" customWidth="1"/>
    <col min="10009" max="10009" width="3.25" style="1282" bestFit="1" customWidth="1"/>
    <col min="10010" max="10010" width="6.75" style="1282" bestFit="1" customWidth="1"/>
    <col min="10011" max="10011" width="3.25" style="1282" bestFit="1" customWidth="1"/>
    <col min="10012" max="10012" width="5.5" style="1282" customWidth="1"/>
    <col min="10013" max="10240" width="11.5" style="1282"/>
    <col min="10241" max="10241" width="2.375" style="1282" customWidth="1"/>
    <col min="10242" max="10242" width="8.75" style="1282" customWidth="1"/>
    <col min="10243" max="10243" width="9" style="1282" customWidth="1"/>
    <col min="10244" max="10249" width="5.625" style="1282" customWidth="1"/>
    <col min="10250" max="10250" width="7" style="1282" customWidth="1"/>
    <col min="10251" max="10251" width="9.25" style="1282" customWidth="1"/>
    <col min="10252" max="10252" width="8.25" style="1282" customWidth="1"/>
    <col min="10253" max="10253" width="9.5" style="1282" customWidth="1"/>
    <col min="10254" max="10254" width="9.875" style="1282" customWidth="1"/>
    <col min="10255" max="10256" width="7.875" style="1282" customWidth="1"/>
    <col min="10257" max="10259" width="9.75" style="1282" customWidth="1"/>
    <col min="10260" max="10260" width="11.875" style="1282" customWidth="1"/>
    <col min="10261" max="10261" width="5" style="1282" customWidth="1"/>
    <col min="10262" max="10262" width="4.125" style="1282" customWidth="1"/>
    <col min="10263" max="10263" width="11.5" style="1282"/>
    <col min="10264" max="10264" width="8.5" style="1282" customWidth="1"/>
    <col min="10265" max="10265" width="3.25" style="1282" bestFit="1" customWidth="1"/>
    <col min="10266" max="10266" width="6.75" style="1282" bestFit="1" customWidth="1"/>
    <col min="10267" max="10267" width="3.25" style="1282" bestFit="1" customWidth="1"/>
    <col min="10268" max="10268" width="5.5" style="1282" customWidth="1"/>
    <col min="10269" max="10496" width="11.5" style="1282"/>
    <col min="10497" max="10497" width="2.375" style="1282" customWidth="1"/>
    <col min="10498" max="10498" width="8.75" style="1282" customWidth="1"/>
    <col min="10499" max="10499" width="9" style="1282" customWidth="1"/>
    <col min="10500" max="10505" width="5.625" style="1282" customWidth="1"/>
    <col min="10506" max="10506" width="7" style="1282" customWidth="1"/>
    <col min="10507" max="10507" width="9.25" style="1282" customWidth="1"/>
    <col min="10508" max="10508" width="8.25" style="1282" customWidth="1"/>
    <col min="10509" max="10509" width="9.5" style="1282" customWidth="1"/>
    <col min="10510" max="10510" width="9.875" style="1282" customWidth="1"/>
    <col min="10511" max="10512" width="7.875" style="1282" customWidth="1"/>
    <col min="10513" max="10515" width="9.75" style="1282" customWidth="1"/>
    <col min="10516" max="10516" width="11.875" style="1282" customWidth="1"/>
    <col min="10517" max="10517" width="5" style="1282" customWidth="1"/>
    <col min="10518" max="10518" width="4.125" style="1282" customWidth="1"/>
    <col min="10519" max="10519" width="11.5" style="1282"/>
    <col min="10520" max="10520" width="8.5" style="1282" customWidth="1"/>
    <col min="10521" max="10521" width="3.25" style="1282" bestFit="1" customWidth="1"/>
    <col min="10522" max="10522" width="6.75" style="1282" bestFit="1" customWidth="1"/>
    <col min="10523" max="10523" width="3.25" style="1282" bestFit="1" customWidth="1"/>
    <col min="10524" max="10524" width="5.5" style="1282" customWidth="1"/>
    <col min="10525" max="10752" width="11.5" style="1282"/>
    <col min="10753" max="10753" width="2.375" style="1282" customWidth="1"/>
    <col min="10754" max="10754" width="8.75" style="1282" customWidth="1"/>
    <col min="10755" max="10755" width="9" style="1282" customWidth="1"/>
    <col min="10756" max="10761" width="5.625" style="1282" customWidth="1"/>
    <col min="10762" max="10762" width="7" style="1282" customWidth="1"/>
    <col min="10763" max="10763" width="9.25" style="1282" customWidth="1"/>
    <col min="10764" max="10764" width="8.25" style="1282" customWidth="1"/>
    <col min="10765" max="10765" width="9.5" style="1282" customWidth="1"/>
    <col min="10766" max="10766" width="9.875" style="1282" customWidth="1"/>
    <col min="10767" max="10768" width="7.875" style="1282" customWidth="1"/>
    <col min="10769" max="10771" width="9.75" style="1282" customWidth="1"/>
    <col min="10772" max="10772" width="11.875" style="1282" customWidth="1"/>
    <col min="10773" max="10773" width="5" style="1282" customWidth="1"/>
    <col min="10774" max="10774" width="4.125" style="1282" customWidth="1"/>
    <col min="10775" max="10775" width="11.5" style="1282"/>
    <col min="10776" max="10776" width="8.5" style="1282" customWidth="1"/>
    <col min="10777" max="10777" width="3.25" style="1282" bestFit="1" customWidth="1"/>
    <col min="10778" max="10778" width="6.75" style="1282" bestFit="1" customWidth="1"/>
    <col min="10779" max="10779" width="3.25" style="1282" bestFit="1" customWidth="1"/>
    <col min="10780" max="10780" width="5.5" style="1282" customWidth="1"/>
    <col min="10781" max="11008" width="11.5" style="1282"/>
    <col min="11009" max="11009" width="2.375" style="1282" customWidth="1"/>
    <col min="11010" max="11010" width="8.75" style="1282" customWidth="1"/>
    <col min="11011" max="11011" width="9" style="1282" customWidth="1"/>
    <col min="11012" max="11017" width="5.625" style="1282" customWidth="1"/>
    <col min="11018" max="11018" width="7" style="1282" customWidth="1"/>
    <col min="11019" max="11019" width="9.25" style="1282" customWidth="1"/>
    <col min="11020" max="11020" width="8.25" style="1282" customWidth="1"/>
    <col min="11021" max="11021" width="9.5" style="1282" customWidth="1"/>
    <col min="11022" max="11022" width="9.875" style="1282" customWidth="1"/>
    <col min="11023" max="11024" width="7.875" style="1282" customWidth="1"/>
    <col min="11025" max="11027" width="9.75" style="1282" customWidth="1"/>
    <col min="11028" max="11028" width="11.875" style="1282" customWidth="1"/>
    <col min="11029" max="11029" width="5" style="1282" customWidth="1"/>
    <col min="11030" max="11030" width="4.125" style="1282" customWidth="1"/>
    <col min="11031" max="11031" width="11.5" style="1282"/>
    <col min="11032" max="11032" width="8.5" style="1282" customWidth="1"/>
    <col min="11033" max="11033" width="3.25" style="1282" bestFit="1" customWidth="1"/>
    <col min="11034" max="11034" width="6.75" style="1282" bestFit="1" customWidth="1"/>
    <col min="11035" max="11035" width="3.25" style="1282" bestFit="1" customWidth="1"/>
    <col min="11036" max="11036" width="5.5" style="1282" customWidth="1"/>
    <col min="11037" max="11264" width="11.5" style="1282"/>
    <col min="11265" max="11265" width="2.375" style="1282" customWidth="1"/>
    <col min="11266" max="11266" width="8.75" style="1282" customWidth="1"/>
    <col min="11267" max="11267" width="9" style="1282" customWidth="1"/>
    <col min="11268" max="11273" width="5.625" style="1282" customWidth="1"/>
    <col min="11274" max="11274" width="7" style="1282" customWidth="1"/>
    <col min="11275" max="11275" width="9.25" style="1282" customWidth="1"/>
    <col min="11276" max="11276" width="8.25" style="1282" customWidth="1"/>
    <col min="11277" max="11277" width="9.5" style="1282" customWidth="1"/>
    <col min="11278" max="11278" width="9.875" style="1282" customWidth="1"/>
    <col min="11279" max="11280" width="7.875" style="1282" customWidth="1"/>
    <col min="11281" max="11283" width="9.75" style="1282" customWidth="1"/>
    <col min="11284" max="11284" width="11.875" style="1282" customWidth="1"/>
    <col min="11285" max="11285" width="5" style="1282" customWidth="1"/>
    <col min="11286" max="11286" width="4.125" style="1282" customWidth="1"/>
    <col min="11287" max="11287" width="11.5" style="1282"/>
    <col min="11288" max="11288" width="8.5" style="1282" customWidth="1"/>
    <col min="11289" max="11289" width="3.25" style="1282" bestFit="1" customWidth="1"/>
    <col min="11290" max="11290" width="6.75" style="1282" bestFit="1" customWidth="1"/>
    <col min="11291" max="11291" width="3.25" style="1282" bestFit="1" customWidth="1"/>
    <col min="11292" max="11292" width="5.5" style="1282" customWidth="1"/>
    <col min="11293" max="11520" width="11.5" style="1282"/>
    <col min="11521" max="11521" width="2.375" style="1282" customWidth="1"/>
    <col min="11522" max="11522" width="8.75" style="1282" customWidth="1"/>
    <col min="11523" max="11523" width="9" style="1282" customWidth="1"/>
    <col min="11524" max="11529" width="5.625" style="1282" customWidth="1"/>
    <col min="11530" max="11530" width="7" style="1282" customWidth="1"/>
    <col min="11531" max="11531" width="9.25" style="1282" customWidth="1"/>
    <col min="11532" max="11532" width="8.25" style="1282" customWidth="1"/>
    <col min="11533" max="11533" width="9.5" style="1282" customWidth="1"/>
    <col min="11534" max="11534" width="9.875" style="1282" customWidth="1"/>
    <col min="11535" max="11536" width="7.875" style="1282" customWidth="1"/>
    <col min="11537" max="11539" width="9.75" style="1282" customWidth="1"/>
    <col min="11540" max="11540" width="11.875" style="1282" customWidth="1"/>
    <col min="11541" max="11541" width="5" style="1282" customWidth="1"/>
    <col min="11542" max="11542" width="4.125" style="1282" customWidth="1"/>
    <col min="11543" max="11543" width="11.5" style="1282"/>
    <col min="11544" max="11544" width="8.5" style="1282" customWidth="1"/>
    <col min="11545" max="11545" width="3.25" style="1282" bestFit="1" customWidth="1"/>
    <col min="11546" max="11546" width="6.75" style="1282" bestFit="1" customWidth="1"/>
    <col min="11547" max="11547" width="3.25" style="1282" bestFit="1" customWidth="1"/>
    <col min="11548" max="11548" width="5.5" style="1282" customWidth="1"/>
    <col min="11549" max="11776" width="11.5" style="1282"/>
    <col min="11777" max="11777" width="2.375" style="1282" customWidth="1"/>
    <col min="11778" max="11778" width="8.75" style="1282" customWidth="1"/>
    <col min="11779" max="11779" width="9" style="1282" customWidth="1"/>
    <col min="11780" max="11785" width="5.625" style="1282" customWidth="1"/>
    <col min="11786" max="11786" width="7" style="1282" customWidth="1"/>
    <col min="11787" max="11787" width="9.25" style="1282" customWidth="1"/>
    <col min="11788" max="11788" width="8.25" style="1282" customWidth="1"/>
    <col min="11789" max="11789" width="9.5" style="1282" customWidth="1"/>
    <col min="11790" max="11790" width="9.875" style="1282" customWidth="1"/>
    <col min="11791" max="11792" width="7.875" style="1282" customWidth="1"/>
    <col min="11793" max="11795" width="9.75" style="1282" customWidth="1"/>
    <col min="11796" max="11796" width="11.875" style="1282" customWidth="1"/>
    <col min="11797" max="11797" width="5" style="1282" customWidth="1"/>
    <col min="11798" max="11798" width="4.125" style="1282" customWidth="1"/>
    <col min="11799" max="11799" width="11.5" style="1282"/>
    <col min="11800" max="11800" width="8.5" style="1282" customWidth="1"/>
    <col min="11801" max="11801" width="3.25" style="1282" bestFit="1" customWidth="1"/>
    <col min="11802" max="11802" width="6.75" style="1282" bestFit="1" customWidth="1"/>
    <col min="11803" max="11803" width="3.25" style="1282" bestFit="1" customWidth="1"/>
    <col min="11804" max="11804" width="5.5" style="1282" customWidth="1"/>
    <col min="11805" max="12032" width="11.5" style="1282"/>
    <col min="12033" max="12033" width="2.375" style="1282" customWidth="1"/>
    <col min="12034" max="12034" width="8.75" style="1282" customWidth="1"/>
    <col min="12035" max="12035" width="9" style="1282" customWidth="1"/>
    <col min="12036" max="12041" width="5.625" style="1282" customWidth="1"/>
    <col min="12042" max="12042" width="7" style="1282" customWidth="1"/>
    <col min="12043" max="12043" width="9.25" style="1282" customWidth="1"/>
    <col min="12044" max="12044" width="8.25" style="1282" customWidth="1"/>
    <col min="12045" max="12045" width="9.5" style="1282" customWidth="1"/>
    <col min="12046" max="12046" width="9.875" style="1282" customWidth="1"/>
    <col min="12047" max="12048" width="7.875" style="1282" customWidth="1"/>
    <col min="12049" max="12051" width="9.75" style="1282" customWidth="1"/>
    <col min="12052" max="12052" width="11.875" style="1282" customWidth="1"/>
    <col min="12053" max="12053" width="5" style="1282" customWidth="1"/>
    <col min="12054" max="12054" width="4.125" style="1282" customWidth="1"/>
    <col min="12055" max="12055" width="11.5" style="1282"/>
    <col min="12056" max="12056" width="8.5" style="1282" customWidth="1"/>
    <col min="12057" max="12057" width="3.25" style="1282" bestFit="1" customWidth="1"/>
    <col min="12058" max="12058" width="6.75" style="1282" bestFit="1" customWidth="1"/>
    <col min="12059" max="12059" width="3.25" style="1282" bestFit="1" customWidth="1"/>
    <col min="12060" max="12060" width="5.5" style="1282" customWidth="1"/>
    <col min="12061" max="12288" width="11.5" style="1282"/>
    <col min="12289" max="12289" width="2.375" style="1282" customWidth="1"/>
    <col min="12290" max="12290" width="8.75" style="1282" customWidth="1"/>
    <col min="12291" max="12291" width="9" style="1282" customWidth="1"/>
    <col min="12292" max="12297" width="5.625" style="1282" customWidth="1"/>
    <col min="12298" max="12298" width="7" style="1282" customWidth="1"/>
    <col min="12299" max="12299" width="9.25" style="1282" customWidth="1"/>
    <col min="12300" max="12300" width="8.25" style="1282" customWidth="1"/>
    <col min="12301" max="12301" width="9.5" style="1282" customWidth="1"/>
    <col min="12302" max="12302" width="9.875" style="1282" customWidth="1"/>
    <col min="12303" max="12304" width="7.875" style="1282" customWidth="1"/>
    <col min="12305" max="12307" width="9.75" style="1282" customWidth="1"/>
    <col min="12308" max="12308" width="11.875" style="1282" customWidth="1"/>
    <col min="12309" max="12309" width="5" style="1282" customWidth="1"/>
    <col min="12310" max="12310" width="4.125" style="1282" customWidth="1"/>
    <col min="12311" max="12311" width="11.5" style="1282"/>
    <col min="12312" max="12312" width="8.5" style="1282" customWidth="1"/>
    <col min="12313" max="12313" width="3.25" style="1282" bestFit="1" customWidth="1"/>
    <col min="12314" max="12314" width="6.75" style="1282" bestFit="1" customWidth="1"/>
    <col min="12315" max="12315" width="3.25" style="1282" bestFit="1" customWidth="1"/>
    <col min="12316" max="12316" width="5.5" style="1282" customWidth="1"/>
    <col min="12317" max="12544" width="11.5" style="1282"/>
    <col min="12545" max="12545" width="2.375" style="1282" customWidth="1"/>
    <col min="12546" max="12546" width="8.75" style="1282" customWidth="1"/>
    <col min="12547" max="12547" width="9" style="1282" customWidth="1"/>
    <col min="12548" max="12553" width="5.625" style="1282" customWidth="1"/>
    <col min="12554" max="12554" width="7" style="1282" customWidth="1"/>
    <col min="12555" max="12555" width="9.25" style="1282" customWidth="1"/>
    <col min="12556" max="12556" width="8.25" style="1282" customWidth="1"/>
    <col min="12557" max="12557" width="9.5" style="1282" customWidth="1"/>
    <col min="12558" max="12558" width="9.875" style="1282" customWidth="1"/>
    <col min="12559" max="12560" width="7.875" style="1282" customWidth="1"/>
    <col min="12561" max="12563" width="9.75" style="1282" customWidth="1"/>
    <col min="12564" max="12564" width="11.875" style="1282" customWidth="1"/>
    <col min="12565" max="12565" width="5" style="1282" customWidth="1"/>
    <col min="12566" max="12566" width="4.125" style="1282" customWidth="1"/>
    <col min="12567" max="12567" width="11.5" style="1282"/>
    <col min="12568" max="12568" width="8.5" style="1282" customWidth="1"/>
    <col min="12569" max="12569" width="3.25" style="1282" bestFit="1" customWidth="1"/>
    <col min="12570" max="12570" width="6.75" style="1282" bestFit="1" customWidth="1"/>
    <col min="12571" max="12571" width="3.25" style="1282" bestFit="1" customWidth="1"/>
    <col min="12572" max="12572" width="5.5" style="1282" customWidth="1"/>
    <col min="12573" max="12800" width="11.5" style="1282"/>
    <col min="12801" max="12801" width="2.375" style="1282" customWidth="1"/>
    <col min="12802" max="12802" width="8.75" style="1282" customWidth="1"/>
    <col min="12803" max="12803" width="9" style="1282" customWidth="1"/>
    <col min="12804" max="12809" width="5.625" style="1282" customWidth="1"/>
    <col min="12810" max="12810" width="7" style="1282" customWidth="1"/>
    <col min="12811" max="12811" width="9.25" style="1282" customWidth="1"/>
    <col min="12812" max="12812" width="8.25" style="1282" customWidth="1"/>
    <col min="12813" max="12813" width="9.5" style="1282" customWidth="1"/>
    <col min="12814" max="12814" width="9.875" style="1282" customWidth="1"/>
    <col min="12815" max="12816" width="7.875" style="1282" customWidth="1"/>
    <col min="12817" max="12819" width="9.75" style="1282" customWidth="1"/>
    <col min="12820" max="12820" width="11.875" style="1282" customWidth="1"/>
    <col min="12821" max="12821" width="5" style="1282" customWidth="1"/>
    <col min="12822" max="12822" width="4.125" style="1282" customWidth="1"/>
    <col min="12823" max="12823" width="11.5" style="1282"/>
    <col min="12824" max="12824" width="8.5" style="1282" customWidth="1"/>
    <col min="12825" max="12825" width="3.25" style="1282" bestFit="1" customWidth="1"/>
    <col min="12826" max="12826" width="6.75" style="1282" bestFit="1" customWidth="1"/>
    <col min="12827" max="12827" width="3.25" style="1282" bestFit="1" customWidth="1"/>
    <col min="12828" max="12828" width="5.5" style="1282" customWidth="1"/>
    <col min="12829" max="13056" width="11.5" style="1282"/>
    <col min="13057" max="13057" width="2.375" style="1282" customWidth="1"/>
    <col min="13058" max="13058" width="8.75" style="1282" customWidth="1"/>
    <col min="13059" max="13059" width="9" style="1282" customWidth="1"/>
    <col min="13060" max="13065" width="5.625" style="1282" customWidth="1"/>
    <col min="13066" max="13066" width="7" style="1282" customWidth="1"/>
    <col min="13067" max="13067" width="9.25" style="1282" customWidth="1"/>
    <col min="13068" max="13068" width="8.25" style="1282" customWidth="1"/>
    <col min="13069" max="13069" width="9.5" style="1282" customWidth="1"/>
    <col min="13070" max="13070" width="9.875" style="1282" customWidth="1"/>
    <col min="13071" max="13072" width="7.875" style="1282" customWidth="1"/>
    <col min="13073" max="13075" width="9.75" style="1282" customWidth="1"/>
    <col min="13076" max="13076" width="11.875" style="1282" customWidth="1"/>
    <col min="13077" max="13077" width="5" style="1282" customWidth="1"/>
    <col min="13078" max="13078" width="4.125" style="1282" customWidth="1"/>
    <col min="13079" max="13079" width="11.5" style="1282"/>
    <col min="13080" max="13080" width="8.5" style="1282" customWidth="1"/>
    <col min="13081" max="13081" width="3.25" style="1282" bestFit="1" customWidth="1"/>
    <col min="13082" max="13082" width="6.75" style="1282" bestFit="1" customWidth="1"/>
    <col min="13083" max="13083" width="3.25" style="1282" bestFit="1" customWidth="1"/>
    <col min="13084" max="13084" width="5.5" style="1282" customWidth="1"/>
    <col min="13085" max="13312" width="11.5" style="1282"/>
    <col min="13313" max="13313" width="2.375" style="1282" customWidth="1"/>
    <col min="13314" max="13314" width="8.75" style="1282" customWidth="1"/>
    <col min="13315" max="13315" width="9" style="1282" customWidth="1"/>
    <col min="13316" max="13321" width="5.625" style="1282" customWidth="1"/>
    <col min="13322" max="13322" width="7" style="1282" customWidth="1"/>
    <col min="13323" max="13323" width="9.25" style="1282" customWidth="1"/>
    <col min="13324" max="13324" width="8.25" style="1282" customWidth="1"/>
    <col min="13325" max="13325" width="9.5" style="1282" customWidth="1"/>
    <col min="13326" max="13326" width="9.875" style="1282" customWidth="1"/>
    <col min="13327" max="13328" width="7.875" style="1282" customWidth="1"/>
    <col min="13329" max="13331" width="9.75" style="1282" customWidth="1"/>
    <col min="13332" max="13332" width="11.875" style="1282" customWidth="1"/>
    <col min="13333" max="13333" width="5" style="1282" customWidth="1"/>
    <col min="13334" max="13334" width="4.125" style="1282" customWidth="1"/>
    <col min="13335" max="13335" width="11.5" style="1282"/>
    <col min="13336" max="13336" width="8.5" style="1282" customWidth="1"/>
    <col min="13337" max="13337" width="3.25" style="1282" bestFit="1" customWidth="1"/>
    <col min="13338" max="13338" width="6.75" style="1282" bestFit="1" customWidth="1"/>
    <col min="13339" max="13339" width="3.25" style="1282" bestFit="1" customWidth="1"/>
    <col min="13340" max="13340" width="5.5" style="1282" customWidth="1"/>
    <col min="13341" max="13568" width="11.5" style="1282"/>
    <col min="13569" max="13569" width="2.375" style="1282" customWidth="1"/>
    <col min="13570" max="13570" width="8.75" style="1282" customWidth="1"/>
    <col min="13571" max="13571" width="9" style="1282" customWidth="1"/>
    <col min="13572" max="13577" width="5.625" style="1282" customWidth="1"/>
    <col min="13578" max="13578" width="7" style="1282" customWidth="1"/>
    <col min="13579" max="13579" width="9.25" style="1282" customWidth="1"/>
    <col min="13580" max="13580" width="8.25" style="1282" customWidth="1"/>
    <col min="13581" max="13581" width="9.5" style="1282" customWidth="1"/>
    <col min="13582" max="13582" width="9.875" style="1282" customWidth="1"/>
    <col min="13583" max="13584" width="7.875" style="1282" customWidth="1"/>
    <col min="13585" max="13587" width="9.75" style="1282" customWidth="1"/>
    <col min="13588" max="13588" width="11.875" style="1282" customWidth="1"/>
    <col min="13589" max="13589" width="5" style="1282" customWidth="1"/>
    <col min="13590" max="13590" width="4.125" style="1282" customWidth="1"/>
    <col min="13591" max="13591" width="11.5" style="1282"/>
    <col min="13592" max="13592" width="8.5" style="1282" customWidth="1"/>
    <col min="13593" max="13593" width="3.25" style="1282" bestFit="1" customWidth="1"/>
    <col min="13594" max="13594" width="6.75" style="1282" bestFit="1" customWidth="1"/>
    <col min="13595" max="13595" width="3.25" style="1282" bestFit="1" customWidth="1"/>
    <col min="13596" max="13596" width="5.5" style="1282" customWidth="1"/>
    <col min="13597" max="13824" width="11.5" style="1282"/>
    <col min="13825" max="13825" width="2.375" style="1282" customWidth="1"/>
    <col min="13826" max="13826" width="8.75" style="1282" customWidth="1"/>
    <col min="13827" max="13827" width="9" style="1282" customWidth="1"/>
    <col min="13828" max="13833" width="5.625" style="1282" customWidth="1"/>
    <col min="13834" max="13834" width="7" style="1282" customWidth="1"/>
    <col min="13835" max="13835" width="9.25" style="1282" customWidth="1"/>
    <col min="13836" max="13836" width="8.25" style="1282" customWidth="1"/>
    <col min="13837" max="13837" width="9.5" style="1282" customWidth="1"/>
    <col min="13838" max="13838" width="9.875" style="1282" customWidth="1"/>
    <col min="13839" max="13840" width="7.875" style="1282" customWidth="1"/>
    <col min="13841" max="13843" width="9.75" style="1282" customWidth="1"/>
    <col min="13844" max="13844" width="11.875" style="1282" customWidth="1"/>
    <col min="13845" max="13845" width="5" style="1282" customWidth="1"/>
    <col min="13846" max="13846" width="4.125" style="1282" customWidth="1"/>
    <col min="13847" max="13847" width="11.5" style="1282"/>
    <col min="13848" max="13848" width="8.5" style="1282" customWidth="1"/>
    <col min="13849" max="13849" width="3.25" style="1282" bestFit="1" customWidth="1"/>
    <col min="13850" max="13850" width="6.75" style="1282" bestFit="1" customWidth="1"/>
    <col min="13851" max="13851" width="3.25" style="1282" bestFit="1" customWidth="1"/>
    <col min="13852" max="13852" width="5.5" style="1282" customWidth="1"/>
    <col min="13853" max="14080" width="11.5" style="1282"/>
    <col min="14081" max="14081" width="2.375" style="1282" customWidth="1"/>
    <col min="14082" max="14082" width="8.75" style="1282" customWidth="1"/>
    <col min="14083" max="14083" width="9" style="1282" customWidth="1"/>
    <col min="14084" max="14089" width="5.625" style="1282" customWidth="1"/>
    <col min="14090" max="14090" width="7" style="1282" customWidth="1"/>
    <col min="14091" max="14091" width="9.25" style="1282" customWidth="1"/>
    <col min="14092" max="14092" width="8.25" style="1282" customWidth="1"/>
    <col min="14093" max="14093" width="9.5" style="1282" customWidth="1"/>
    <col min="14094" max="14094" width="9.875" style="1282" customWidth="1"/>
    <col min="14095" max="14096" width="7.875" style="1282" customWidth="1"/>
    <col min="14097" max="14099" width="9.75" style="1282" customWidth="1"/>
    <col min="14100" max="14100" width="11.875" style="1282" customWidth="1"/>
    <col min="14101" max="14101" width="5" style="1282" customWidth="1"/>
    <col min="14102" max="14102" width="4.125" style="1282" customWidth="1"/>
    <col min="14103" max="14103" width="11.5" style="1282"/>
    <col min="14104" max="14104" width="8.5" style="1282" customWidth="1"/>
    <col min="14105" max="14105" width="3.25" style="1282" bestFit="1" customWidth="1"/>
    <col min="14106" max="14106" width="6.75" style="1282" bestFit="1" customWidth="1"/>
    <col min="14107" max="14107" width="3.25" style="1282" bestFit="1" customWidth="1"/>
    <col min="14108" max="14108" width="5.5" style="1282" customWidth="1"/>
    <col min="14109" max="14336" width="11.5" style="1282"/>
    <col min="14337" max="14337" width="2.375" style="1282" customWidth="1"/>
    <col min="14338" max="14338" width="8.75" style="1282" customWidth="1"/>
    <col min="14339" max="14339" width="9" style="1282" customWidth="1"/>
    <col min="14340" max="14345" width="5.625" style="1282" customWidth="1"/>
    <col min="14346" max="14346" width="7" style="1282" customWidth="1"/>
    <col min="14347" max="14347" width="9.25" style="1282" customWidth="1"/>
    <col min="14348" max="14348" width="8.25" style="1282" customWidth="1"/>
    <col min="14349" max="14349" width="9.5" style="1282" customWidth="1"/>
    <col min="14350" max="14350" width="9.875" style="1282" customWidth="1"/>
    <col min="14351" max="14352" width="7.875" style="1282" customWidth="1"/>
    <col min="14353" max="14355" width="9.75" style="1282" customWidth="1"/>
    <col min="14356" max="14356" width="11.875" style="1282" customWidth="1"/>
    <col min="14357" max="14357" width="5" style="1282" customWidth="1"/>
    <col min="14358" max="14358" width="4.125" style="1282" customWidth="1"/>
    <col min="14359" max="14359" width="11.5" style="1282"/>
    <col min="14360" max="14360" width="8.5" style="1282" customWidth="1"/>
    <col min="14361" max="14361" width="3.25" style="1282" bestFit="1" customWidth="1"/>
    <col min="14362" max="14362" width="6.75" style="1282" bestFit="1" customWidth="1"/>
    <col min="14363" max="14363" width="3.25" style="1282" bestFit="1" customWidth="1"/>
    <col min="14364" max="14364" width="5.5" style="1282" customWidth="1"/>
    <col min="14365" max="14592" width="11.5" style="1282"/>
    <col min="14593" max="14593" width="2.375" style="1282" customWidth="1"/>
    <col min="14594" max="14594" width="8.75" style="1282" customWidth="1"/>
    <col min="14595" max="14595" width="9" style="1282" customWidth="1"/>
    <col min="14596" max="14601" width="5.625" style="1282" customWidth="1"/>
    <col min="14602" max="14602" width="7" style="1282" customWidth="1"/>
    <col min="14603" max="14603" width="9.25" style="1282" customWidth="1"/>
    <col min="14604" max="14604" width="8.25" style="1282" customWidth="1"/>
    <col min="14605" max="14605" width="9.5" style="1282" customWidth="1"/>
    <col min="14606" max="14606" width="9.875" style="1282" customWidth="1"/>
    <col min="14607" max="14608" width="7.875" style="1282" customWidth="1"/>
    <col min="14609" max="14611" width="9.75" style="1282" customWidth="1"/>
    <col min="14612" max="14612" width="11.875" style="1282" customWidth="1"/>
    <col min="14613" max="14613" width="5" style="1282" customWidth="1"/>
    <col min="14614" max="14614" width="4.125" style="1282" customWidth="1"/>
    <col min="14615" max="14615" width="11.5" style="1282"/>
    <col min="14616" max="14616" width="8.5" style="1282" customWidth="1"/>
    <col min="14617" max="14617" width="3.25" style="1282" bestFit="1" customWidth="1"/>
    <col min="14618" max="14618" width="6.75" style="1282" bestFit="1" customWidth="1"/>
    <col min="14619" max="14619" width="3.25" style="1282" bestFit="1" customWidth="1"/>
    <col min="14620" max="14620" width="5.5" style="1282" customWidth="1"/>
    <col min="14621" max="14848" width="11.5" style="1282"/>
    <col min="14849" max="14849" width="2.375" style="1282" customWidth="1"/>
    <col min="14850" max="14850" width="8.75" style="1282" customWidth="1"/>
    <col min="14851" max="14851" width="9" style="1282" customWidth="1"/>
    <col min="14852" max="14857" width="5.625" style="1282" customWidth="1"/>
    <col min="14858" max="14858" width="7" style="1282" customWidth="1"/>
    <col min="14859" max="14859" width="9.25" style="1282" customWidth="1"/>
    <col min="14860" max="14860" width="8.25" style="1282" customWidth="1"/>
    <col min="14861" max="14861" width="9.5" style="1282" customWidth="1"/>
    <col min="14862" max="14862" width="9.875" style="1282" customWidth="1"/>
    <col min="14863" max="14864" width="7.875" style="1282" customWidth="1"/>
    <col min="14865" max="14867" width="9.75" style="1282" customWidth="1"/>
    <col min="14868" max="14868" width="11.875" style="1282" customWidth="1"/>
    <col min="14869" max="14869" width="5" style="1282" customWidth="1"/>
    <col min="14870" max="14870" width="4.125" style="1282" customWidth="1"/>
    <col min="14871" max="14871" width="11.5" style="1282"/>
    <col min="14872" max="14872" width="8.5" style="1282" customWidth="1"/>
    <col min="14873" max="14873" width="3.25" style="1282" bestFit="1" customWidth="1"/>
    <col min="14874" max="14874" width="6.75" style="1282" bestFit="1" customWidth="1"/>
    <col min="14875" max="14875" width="3.25" style="1282" bestFit="1" customWidth="1"/>
    <col min="14876" max="14876" width="5.5" style="1282" customWidth="1"/>
    <col min="14877" max="15104" width="11.5" style="1282"/>
    <col min="15105" max="15105" width="2.375" style="1282" customWidth="1"/>
    <col min="15106" max="15106" width="8.75" style="1282" customWidth="1"/>
    <col min="15107" max="15107" width="9" style="1282" customWidth="1"/>
    <col min="15108" max="15113" width="5.625" style="1282" customWidth="1"/>
    <col min="15114" max="15114" width="7" style="1282" customWidth="1"/>
    <col min="15115" max="15115" width="9.25" style="1282" customWidth="1"/>
    <col min="15116" max="15116" width="8.25" style="1282" customWidth="1"/>
    <col min="15117" max="15117" width="9.5" style="1282" customWidth="1"/>
    <col min="15118" max="15118" width="9.875" style="1282" customWidth="1"/>
    <col min="15119" max="15120" width="7.875" style="1282" customWidth="1"/>
    <col min="15121" max="15123" width="9.75" style="1282" customWidth="1"/>
    <col min="15124" max="15124" width="11.875" style="1282" customWidth="1"/>
    <col min="15125" max="15125" width="5" style="1282" customWidth="1"/>
    <col min="15126" max="15126" width="4.125" style="1282" customWidth="1"/>
    <col min="15127" max="15127" width="11.5" style="1282"/>
    <col min="15128" max="15128" width="8.5" style="1282" customWidth="1"/>
    <col min="15129" max="15129" width="3.25" style="1282" bestFit="1" customWidth="1"/>
    <col min="15130" max="15130" width="6.75" style="1282" bestFit="1" customWidth="1"/>
    <col min="15131" max="15131" width="3.25" style="1282" bestFit="1" customWidth="1"/>
    <col min="15132" max="15132" width="5.5" style="1282" customWidth="1"/>
    <col min="15133" max="15360" width="11.5" style="1282"/>
    <col min="15361" max="15361" width="2.375" style="1282" customWidth="1"/>
    <col min="15362" max="15362" width="8.75" style="1282" customWidth="1"/>
    <col min="15363" max="15363" width="9" style="1282" customWidth="1"/>
    <col min="15364" max="15369" width="5.625" style="1282" customWidth="1"/>
    <col min="15370" max="15370" width="7" style="1282" customWidth="1"/>
    <col min="15371" max="15371" width="9.25" style="1282" customWidth="1"/>
    <col min="15372" max="15372" width="8.25" style="1282" customWidth="1"/>
    <col min="15373" max="15373" width="9.5" style="1282" customWidth="1"/>
    <col min="15374" max="15374" width="9.875" style="1282" customWidth="1"/>
    <col min="15375" max="15376" width="7.875" style="1282" customWidth="1"/>
    <col min="15377" max="15379" width="9.75" style="1282" customWidth="1"/>
    <col min="15380" max="15380" width="11.875" style="1282" customWidth="1"/>
    <col min="15381" max="15381" width="5" style="1282" customWidth="1"/>
    <col min="15382" max="15382" width="4.125" style="1282" customWidth="1"/>
    <col min="15383" max="15383" width="11.5" style="1282"/>
    <col min="15384" max="15384" width="8.5" style="1282" customWidth="1"/>
    <col min="15385" max="15385" width="3.25" style="1282" bestFit="1" customWidth="1"/>
    <col min="15386" max="15386" width="6.75" style="1282" bestFit="1" customWidth="1"/>
    <col min="15387" max="15387" width="3.25" style="1282" bestFit="1" customWidth="1"/>
    <col min="15388" max="15388" width="5.5" style="1282" customWidth="1"/>
    <col min="15389" max="15616" width="11.5" style="1282"/>
    <col min="15617" max="15617" width="2.375" style="1282" customWidth="1"/>
    <col min="15618" max="15618" width="8.75" style="1282" customWidth="1"/>
    <col min="15619" max="15619" width="9" style="1282" customWidth="1"/>
    <col min="15620" max="15625" width="5.625" style="1282" customWidth="1"/>
    <col min="15626" max="15626" width="7" style="1282" customWidth="1"/>
    <col min="15627" max="15627" width="9.25" style="1282" customWidth="1"/>
    <col min="15628" max="15628" width="8.25" style="1282" customWidth="1"/>
    <col min="15629" max="15629" width="9.5" style="1282" customWidth="1"/>
    <col min="15630" max="15630" width="9.875" style="1282" customWidth="1"/>
    <col min="15631" max="15632" width="7.875" style="1282" customWidth="1"/>
    <col min="15633" max="15635" width="9.75" style="1282" customWidth="1"/>
    <col min="15636" max="15636" width="11.875" style="1282" customWidth="1"/>
    <col min="15637" max="15637" width="5" style="1282" customWidth="1"/>
    <col min="15638" max="15638" width="4.125" style="1282" customWidth="1"/>
    <col min="15639" max="15639" width="11.5" style="1282"/>
    <col min="15640" max="15640" width="8.5" style="1282" customWidth="1"/>
    <col min="15641" max="15641" width="3.25" style="1282" bestFit="1" customWidth="1"/>
    <col min="15642" max="15642" width="6.75" style="1282" bestFit="1" customWidth="1"/>
    <col min="15643" max="15643" width="3.25" style="1282" bestFit="1" customWidth="1"/>
    <col min="15644" max="15644" width="5.5" style="1282" customWidth="1"/>
    <col min="15645" max="15872" width="11.5" style="1282"/>
    <col min="15873" max="15873" width="2.375" style="1282" customWidth="1"/>
    <col min="15874" max="15874" width="8.75" style="1282" customWidth="1"/>
    <col min="15875" max="15875" width="9" style="1282" customWidth="1"/>
    <col min="15876" max="15881" width="5.625" style="1282" customWidth="1"/>
    <col min="15882" max="15882" width="7" style="1282" customWidth="1"/>
    <col min="15883" max="15883" width="9.25" style="1282" customWidth="1"/>
    <col min="15884" max="15884" width="8.25" style="1282" customWidth="1"/>
    <col min="15885" max="15885" width="9.5" style="1282" customWidth="1"/>
    <col min="15886" max="15886" width="9.875" style="1282" customWidth="1"/>
    <col min="15887" max="15888" width="7.875" style="1282" customWidth="1"/>
    <col min="15889" max="15891" width="9.75" style="1282" customWidth="1"/>
    <col min="15892" max="15892" width="11.875" style="1282" customWidth="1"/>
    <col min="15893" max="15893" width="5" style="1282" customWidth="1"/>
    <col min="15894" max="15894" width="4.125" style="1282" customWidth="1"/>
    <col min="15895" max="15895" width="11.5" style="1282"/>
    <col min="15896" max="15896" width="8.5" style="1282" customWidth="1"/>
    <col min="15897" max="15897" width="3.25" style="1282" bestFit="1" customWidth="1"/>
    <col min="15898" max="15898" width="6.75" style="1282" bestFit="1" customWidth="1"/>
    <col min="15899" max="15899" width="3.25" style="1282" bestFit="1" customWidth="1"/>
    <col min="15900" max="15900" width="5.5" style="1282" customWidth="1"/>
    <col min="15901" max="16128" width="11.5" style="1282"/>
    <col min="16129" max="16129" width="2.375" style="1282" customWidth="1"/>
    <col min="16130" max="16130" width="8.75" style="1282" customWidth="1"/>
    <col min="16131" max="16131" width="9" style="1282" customWidth="1"/>
    <col min="16132" max="16137" width="5.625" style="1282" customWidth="1"/>
    <col min="16138" max="16138" width="7" style="1282" customWidth="1"/>
    <col min="16139" max="16139" width="9.25" style="1282" customWidth="1"/>
    <col min="16140" max="16140" width="8.25" style="1282" customWidth="1"/>
    <col min="16141" max="16141" width="9.5" style="1282" customWidth="1"/>
    <col min="16142" max="16142" width="9.875" style="1282" customWidth="1"/>
    <col min="16143" max="16144" width="7.875" style="1282" customWidth="1"/>
    <col min="16145" max="16147" width="9.75" style="1282" customWidth="1"/>
    <col min="16148" max="16148" width="11.875" style="1282" customWidth="1"/>
    <col min="16149" max="16149" width="5" style="1282" customWidth="1"/>
    <col min="16150" max="16150" width="4.125" style="1282" customWidth="1"/>
    <col min="16151" max="16151" width="11.5" style="1282"/>
    <col min="16152" max="16152" width="8.5" style="1282" customWidth="1"/>
    <col min="16153" max="16153" width="3.25" style="1282" bestFit="1" customWidth="1"/>
    <col min="16154" max="16154" width="6.75" style="1282" bestFit="1" customWidth="1"/>
    <col min="16155" max="16155" width="3.25" style="1282" bestFit="1" customWidth="1"/>
    <col min="16156" max="16156" width="5.5" style="1282" customWidth="1"/>
    <col min="16157" max="16384" width="11.5" style="1282"/>
  </cols>
  <sheetData>
    <row r="1" spans="2:37" s="33" customFormat="1" ht="31.7" customHeight="1" x14ac:dyDescent="0.25">
      <c r="B1" s="49"/>
      <c r="C1" s="617"/>
      <c r="G1" s="617"/>
      <c r="H1" s="700" t="str">
        <f>Startmenue!G2</f>
        <v>Version 1.2</v>
      </c>
      <c r="U1" s="617"/>
      <c r="AE1" s="617"/>
      <c r="AJ1" s="617"/>
      <c r="AK1" s="617"/>
    </row>
    <row r="2" spans="2:37" s="661" customFormat="1" ht="2.85" customHeight="1" x14ac:dyDescent="0.2">
      <c r="C2" s="662">
        <f>COLUMNS($C2:C2)</f>
        <v>1</v>
      </c>
      <c r="D2" s="662">
        <f>COLUMNS($C2:D2)</f>
        <v>2</v>
      </c>
      <c r="E2" s="662">
        <f>COLUMNS($C2:E2)</f>
        <v>3</v>
      </c>
      <c r="F2" s="662">
        <f>COLUMNS($C2:F2)</f>
        <v>4</v>
      </c>
      <c r="G2" s="662">
        <f>COLUMNS($C2:G2)</f>
        <v>5</v>
      </c>
      <c r="H2" s="662">
        <f>COLUMNS($C2:H2)</f>
        <v>6</v>
      </c>
      <c r="I2" s="662">
        <f>COLUMNS($C2:I2)</f>
        <v>7</v>
      </c>
      <c r="J2" s="662">
        <f>COLUMNS($C2:J2)</f>
        <v>8</v>
      </c>
      <c r="K2" s="662">
        <f>COLUMNS($C2:K2)</f>
        <v>9</v>
      </c>
      <c r="L2" s="662">
        <f>COLUMNS($C2:L2)</f>
        <v>10</v>
      </c>
      <c r="M2" s="662">
        <f>COLUMNS($C2:M2)</f>
        <v>11</v>
      </c>
      <c r="N2" s="662">
        <f>COLUMNS($C2:N2)</f>
        <v>12</v>
      </c>
      <c r="O2" s="662"/>
      <c r="P2" s="662"/>
      <c r="Q2" s="661" t="s">
        <v>4090</v>
      </c>
    </row>
    <row r="3" spans="2:37" s="1281" customFormat="1" ht="14.25" x14ac:dyDescent="0.2">
      <c r="B3" s="60" t="s">
        <v>4368</v>
      </c>
      <c r="C3" s="1363"/>
      <c r="D3" s="60" t="s">
        <v>4386</v>
      </c>
      <c r="E3" s="60"/>
      <c r="F3" s="60"/>
      <c r="G3" s="60"/>
      <c r="H3" s="60"/>
      <c r="I3" s="60"/>
      <c r="J3" s="60"/>
      <c r="K3" s="1363"/>
      <c r="L3" s="1284"/>
      <c r="M3" s="1364"/>
    </row>
    <row r="4" spans="2:37" s="1281" customFormat="1" ht="18.75" x14ac:dyDescent="0.2">
      <c r="B4" s="60" t="s">
        <v>4369</v>
      </c>
      <c r="D4" s="1283" t="s">
        <v>4614</v>
      </c>
      <c r="M4" s="1365"/>
      <c r="N4" s="1363"/>
      <c r="O4" s="1363"/>
      <c r="P4" s="1363"/>
      <c r="Q4" s="1363"/>
    </row>
    <row r="5" spans="2:37" s="1281" customFormat="1" ht="13.7" x14ac:dyDescent="0.2">
      <c r="D5" s="1283" t="s">
        <v>3842</v>
      </c>
      <c r="M5" s="1365"/>
      <c r="N5" s="1363"/>
      <c r="O5" s="1363"/>
      <c r="P5" s="1363"/>
      <c r="Q5" s="1363"/>
    </row>
    <row r="6" spans="2:37" s="1281" customFormat="1" ht="12.75" customHeight="1" x14ac:dyDescent="0.2">
      <c r="D6" s="1283" t="s">
        <v>3843</v>
      </c>
      <c r="M6" s="1365"/>
      <c r="N6" s="1363"/>
      <c r="O6" s="1363"/>
      <c r="P6" s="1363"/>
      <c r="Q6" s="1363"/>
    </row>
    <row r="7" spans="2:37" s="1281" customFormat="1" ht="14.25" customHeight="1" x14ac:dyDescent="0.2">
      <c r="D7" s="1285" t="s">
        <v>4615</v>
      </c>
      <c r="M7" s="1365"/>
      <c r="N7" s="1363"/>
      <c r="O7" s="1363"/>
      <c r="P7" s="1363"/>
      <c r="Q7" s="1363"/>
    </row>
    <row r="8" spans="2:37" s="1281" customFormat="1" ht="12.2" customHeight="1" x14ac:dyDescent="0.2">
      <c r="D8" s="1283" t="s">
        <v>4619</v>
      </c>
      <c r="M8" s="1365"/>
    </row>
    <row r="9" spans="2:37" s="1281" customFormat="1" ht="14.25" x14ac:dyDescent="0.2">
      <c r="D9" s="1283"/>
      <c r="M9" s="1365"/>
    </row>
    <row r="12" spans="2:37" s="1472" customFormat="1" ht="12.2" x14ac:dyDescent="0.2">
      <c r="D12" s="1473">
        <v>1</v>
      </c>
      <c r="F12" s="1473">
        <v>2</v>
      </c>
      <c r="H12" s="1473">
        <v>3</v>
      </c>
      <c r="J12" s="1473">
        <v>4</v>
      </c>
      <c r="L12" s="1473">
        <v>5</v>
      </c>
      <c r="M12" s="1474"/>
    </row>
    <row r="13" spans="2:37" s="1464" customFormat="1" x14ac:dyDescent="0.2">
      <c r="C13" s="1976" t="s">
        <v>21</v>
      </c>
      <c r="D13" s="1976"/>
      <c r="E13" s="1976"/>
      <c r="F13" s="1976"/>
      <c r="G13" s="1976"/>
      <c r="H13" s="1976"/>
      <c r="I13" s="1976"/>
      <c r="J13" s="1976"/>
      <c r="K13" s="1976"/>
      <c r="L13" s="1976"/>
      <c r="M13" s="1465"/>
    </row>
    <row r="14" spans="2:37" s="1464" customFormat="1" ht="12.95" x14ac:dyDescent="0.2">
      <c r="C14" s="1977" t="s">
        <v>3844</v>
      </c>
      <c r="D14" s="1978"/>
      <c r="E14" s="1977" t="s">
        <v>3845</v>
      </c>
      <c r="F14" s="1978"/>
      <c r="G14" s="1977" t="s">
        <v>3319</v>
      </c>
      <c r="H14" s="1978"/>
      <c r="I14" s="1977" t="s">
        <v>3320</v>
      </c>
      <c r="J14" s="1978"/>
      <c r="K14" s="1977" t="s">
        <v>3846</v>
      </c>
      <c r="L14" s="1978"/>
      <c r="M14" s="1465"/>
    </row>
    <row r="15" spans="2:37" s="1464" customFormat="1" ht="12.95" x14ac:dyDescent="0.2">
      <c r="M15" s="1465"/>
    </row>
    <row r="16" spans="2:37" s="1464" customFormat="1" ht="12.95" x14ac:dyDescent="0.2">
      <c r="B16" s="1466" t="s">
        <v>3326</v>
      </c>
      <c r="C16" s="1467" t="s">
        <v>3327</v>
      </c>
      <c r="D16" s="1468" t="s">
        <v>3847</v>
      </c>
      <c r="E16" s="1469" t="s">
        <v>3327</v>
      </c>
      <c r="F16" s="1468" t="s">
        <v>3847</v>
      </c>
      <c r="G16" s="1469" t="s">
        <v>3327</v>
      </c>
      <c r="H16" s="1468" t="s">
        <v>3847</v>
      </c>
      <c r="I16" s="1469" t="s">
        <v>3327</v>
      </c>
      <c r="J16" s="1468" t="s">
        <v>3847</v>
      </c>
      <c r="K16" s="1469" t="s">
        <v>3327</v>
      </c>
      <c r="L16" s="1468" t="s">
        <v>3847</v>
      </c>
      <c r="M16" s="1465"/>
      <c r="O16" s="1470"/>
      <c r="P16" s="1470"/>
      <c r="Q16" s="1471"/>
      <c r="R16" s="1471"/>
    </row>
    <row r="17" spans="1:21" ht="12.95" x14ac:dyDescent="0.2">
      <c r="B17" s="1371"/>
    </row>
    <row r="18" spans="1:21" ht="12.95" x14ac:dyDescent="0.2">
      <c r="A18" s="1372">
        <f>B259</f>
        <v>1</v>
      </c>
      <c r="B18" s="1371"/>
      <c r="C18" s="1979" t="s">
        <v>3848</v>
      </c>
      <c r="D18" s="1980"/>
      <c r="E18" s="1980"/>
      <c r="F18" s="1980"/>
      <c r="G18" s="1980"/>
      <c r="H18" s="1980"/>
      <c r="I18" s="1980"/>
      <c r="J18" s="1980"/>
      <c r="K18" s="1980"/>
      <c r="L18" s="1980"/>
    </row>
    <row r="19" spans="1:21" ht="12.95" x14ac:dyDescent="0.2">
      <c r="A19" s="1373"/>
      <c r="B19" s="1371"/>
      <c r="C19" s="112">
        <v>1</v>
      </c>
      <c r="D19" s="112">
        <v>45</v>
      </c>
      <c r="E19" s="112">
        <v>1</v>
      </c>
      <c r="F19" s="112">
        <v>50</v>
      </c>
      <c r="G19" s="112">
        <v>1</v>
      </c>
      <c r="H19" s="112">
        <v>50</v>
      </c>
      <c r="I19" s="112">
        <v>1</v>
      </c>
      <c r="J19" s="112">
        <v>21</v>
      </c>
      <c r="K19" s="112">
        <v>1</v>
      </c>
      <c r="L19" s="112">
        <v>0</v>
      </c>
      <c r="M19" s="1366" t="s">
        <v>3330</v>
      </c>
    </row>
    <row r="20" spans="1:21" ht="12.95" x14ac:dyDescent="0.2">
      <c r="A20" s="1373"/>
      <c r="B20" s="115" t="s">
        <v>3330</v>
      </c>
      <c r="C20" s="79" t="s">
        <v>3849</v>
      </c>
      <c r="D20" s="80">
        <v>45</v>
      </c>
      <c r="E20" s="81" t="s">
        <v>3850</v>
      </c>
      <c r="F20" s="80">
        <v>50</v>
      </c>
      <c r="G20" s="81" t="s">
        <v>3851</v>
      </c>
      <c r="H20" s="80">
        <v>50</v>
      </c>
      <c r="I20" s="81" t="s">
        <v>3852</v>
      </c>
      <c r="J20" s="80">
        <v>21</v>
      </c>
      <c r="K20" s="1374"/>
      <c r="L20" s="1374"/>
      <c r="M20" s="1366" t="s">
        <v>3330</v>
      </c>
    </row>
    <row r="21" spans="1:21" ht="12.95" x14ac:dyDescent="0.2">
      <c r="A21" s="1373"/>
      <c r="B21" s="1371"/>
      <c r="C21" s="79">
        <v>4.0999999999999996</v>
      </c>
      <c r="D21" s="80">
        <v>42</v>
      </c>
      <c r="E21" s="81">
        <v>3.8</v>
      </c>
      <c r="F21" s="80">
        <v>46</v>
      </c>
      <c r="G21" s="81">
        <v>3.5</v>
      </c>
      <c r="H21" s="80">
        <v>47</v>
      </c>
      <c r="I21" s="81">
        <v>3.2</v>
      </c>
      <c r="J21" s="80">
        <v>19</v>
      </c>
      <c r="K21" s="1374"/>
      <c r="L21" s="1374"/>
      <c r="M21" s="1366" t="s">
        <v>3330</v>
      </c>
    </row>
    <row r="22" spans="1:21" ht="12.95" x14ac:dyDescent="0.2">
      <c r="A22" s="1373"/>
      <c r="B22" s="1371"/>
      <c r="C22" s="79">
        <v>4.2</v>
      </c>
      <c r="D22" s="80">
        <v>39</v>
      </c>
      <c r="E22" s="81">
        <v>3.9</v>
      </c>
      <c r="F22" s="80">
        <v>43</v>
      </c>
      <c r="G22" s="81">
        <v>3.6</v>
      </c>
      <c r="H22" s="80">
        <v>43</v>
      </c>
      <c r="I22" s="81">
        <v>3.3</v>
      </c>
      <c r="J22" s="80">
        <v>18</v>
      </c>
      <c r="K22" s="1374"/>
      <c r="L22" s="1374"/>
      <c r="M22" s="1366" t="s">
        <v>3330</v>
      </c>
      <c r="R22" s="1375"/>
    </row>
    <row r="23" spans="1:21" ht="12.95" x14ac:dyDescent="0.2">
      <c r="A23" s="1373"/>
      <c r="B23" s="1371"/>
      <c r="C23" s="79">
        <v>4.3</v>
      </c>
      <c r="D23" s="80">
        <v>36</v>
      </c>
      <c r="E23" s="81">
        <v>4</v>
      </c>
      <c r="F23" s="80">
        <v>39</v>
      </c>
      <c r="G23" s="81">
        <v>3.7</v>
      </c>
      <c r="H23" s="80">
        <v>39</v>
      </c>
      <c r="I23" s="81">
        <v>3.4</v>
      </c>
      <c r="J23" s="80">
        <v>16</v>
      </c>
      <c r="K23" s="1374"/>
      <c r="L23" s="1374"/>
      <c r="M23" s="1366" t="s">
        <v>3330</v>
      </c>
    </row>
    <row r="24" spans="1:21" ht="12.95" x14ac:dyDescent="0.2">
      <c r="A24" s="1373"/>
      <c r="B24" s="1371"/>
      <c r="C24" s="79">
        <v>4.4000000000000004</v>
      </c>
      <c r="D24" s="80">
        <v>33</v>
      </c>
      <c r="E24" s="81">
        <v>4.0999999999999996</v>
      </c>
      <c r="F24" s="80">
        <v>35</v>
      </c>
      <c r="G24" s="81">
        <v>3.8</v>
      </c>
      <c r="H24" s="80">
        <v>35</v>
      </c>
      <c r="I24" s="81">
        <v>3.5</v>
      </c>
      <c r="J24" s="80">
        <v>15</v>
      </c>
      <c r="K24" s="1374"/>
      <c r="L24" s="1374"/>
      <c r="M24" s="1366" t="s">
        <v>3330</v>
      </c>
    </row>
    <row r="25" spans="1:21" ht="12.95" x14ac:dyDescent="0.2">
      <c r="A25" s="1373"/>
      <c r="B25" s="1371"/>
      <c r="C25" s="79">
        <v>4.5</v>
      </c>
      <c r="D25" s="80">
        <v>30</v>
      </c>
      <c r="E25" s="81">
        <v>4.2</v>
      </c>
      <c r="F25" s="80">
        <v>32</v>
      </c>
      <c r="G25" s="81">
        <v>3.9</v>
      </c>
      <c r="H25" s="80">
        <v>31</v>
      </c>
      <c r="I25" s="81">
        <v>3.6</v>
      </c>
      <c r="J25" s="80">
        <v>13</v>
      </c>
      <c r="K25" s="1374"/>
      <c r="L25" s="1374"/>
      <c r="M25" s="1366" t="s">
        <v>3330</v>
      </c>
    </row>
    <row r="26" spans="1:21" ht="12.95" x14ac:dyDescent="0.2">
      <c r="A26" s="1373"/>
      <c r="B26" s="115" t="s">
        <v>3335</v>
      </c>
      <c r="C26" s="79">
        <v>4.5999999999999996</v>
      </c>
      <c r="D26" s="80">
        <v>27</v>
      </c>
      <c r="E26" s="81">
        <v>4.3</v>
      </c>
      <c r="F26" s="80">
        <v>28</v>
      </c>
      <c r="G26" s="81">
        <v>4</v>
      </c>
      <c r="H26" s="80">
        <v>28</v>
      </c>
      <c r="I26" s="81">
        <v>3.7</v>
      </c>
      <c r="J26" s="80">
        <v>12</v>
      </c>
      <c r="K26" s="1374"/>
      <c r="L26" s="1374"/>
      <c r="M26" s="1366" t="s">
        <v>3335</v>
      </c>
    </row>
    <row r="27" spans="1:21" ht="12.95" x14ac:dyDescent="0.2">
      <c r="A27" s="1373"/>
      <c r="B27" s="1371"/>
      <c r="C27" s="79">
        <v>4.7</v>
      </c>
      <c r="D27" s="80">
        <v>24</v>
      </c>
      <c r="E27" s="81">
        <v>4.4000000000000004</v>
      </c>
      <c r="F27" s="80">
        <v>24</v>
      </c>
      <c r="G27" s="81">
        <v>4.0999999999999996</v>
      </c>
      <c r="H27" s="80">
        <v>24</v>
      </c>
      <c r="I27" s="81">
        <v>3.8</v>
      </c>
      <c r="J27" s="80">
        <v>10</v>
      </c>
      <c r="K27" s="1374"/>
      <c r="L27" s="1374"/>
      <c r="M27" s="1366" t="s">
        <v>3335</v>
      </c>
    </row>
    <row r="28" spans="1:21" ht="12.95" x14ac:dyDescent="0.2">
      <c r="A28" s="1373"/>
      <c r="B28" s="1371"/>
      <c r="C28" s="79">
        <v>4.8</v>
      </c>
      <c r="D28" s="80">
        <v>22</v>
      </c>
      <c r="E28" s="81">
        <v>4.5</v>
      </c>
      <c r="F28" s="80">
        <v>21</v>
      </c>
      <c r="G28" s="81">
        <v>4.2</v>
      </c>
      <c r="H28" s="80">
        <v>20</v>
      </c>
      <c r="I28" s="81">
        <v>3.9</v>
      </c>
      <c r="J28" s="80">
        <v>9</v>
      </c>
      <c r="K28" s="1374"/>
      <c r="L28" s="1374"/>
      <c r="M28" s="1366" t="s">
        <v>3335</v>
      </c>
      <c r="O28" s="1376"/>
      <c r="P28" s="1377"/>
      <c r="Q28" s="1376"/>
      <c r="R28" s="134">
        <f>COLUMNS($R$28:R28)</f>
        <v>1</v>
      </c>
      <c r="S28" s="135">
        <f>COLUMNS($R$28:S28)</f>
        <v>2</v>
      </c>
    </row>
    <row r="29" spans="1:21" ht="12.95" x14ac:dyDescent="0.2">
      <c r="A29" s="1373"/>
      <c r="B29" s="1371"/>
      <c r="C29" s="79">
        <v>4.9000000000000004</v>
      </c>
      <c r="D29" s="80">
        <v>19</v>
      </c>
      <c r="E29" s="81">
        <v>4.5999999999999996</v>
      </c>
      <c r="F29" s="80">
        <v>17</v>
      </c>
      <c r="G29" s="81">
        <v>4.3</v>
      </c>
      <c r="H29" s="80">
        <v>16</v>
      </c>
      <c r="I29" s="81">
        <v>4</v>
      </c>
      <c r="J29" s="80">
        <v>7</v>
      </c>
      <c r="K29" s="1374"/>
      <c r="L29" s="1374"/>
      <c r="M29" s="1366" t="s">
        <v>3335</v>
      </c>
      <c r="O29" s="1378"/>
      <c r="P29" s="1379"/>
      <c r="Q29" s="136">
        <f>COLUMNS($Q$29:Q29)</f>
        <v>1</v>
      </c>
      <c r="R29" s="137">
        <f>COLUMNS($Q$29:R29)</f>
        <v>2</v>
      </c>
      <c r="S29" s="1379"/>
      <c r="T29" s="133">
        <f>COLUMNS($T$9:T29)</f>
        <v>1</v>
      </c>
      <c r="U29" s="133">
        <f>COLUMNS($T$9:U29)</f>
        <v>2</v>
      </c>
    </row>
    <row r="30" spans="1:21" ht="12.95" x14ac:dyDescent="0.2">
      <c r="A30" s="1373"/>
      <c r="B30" s="1371"/>
      <c r="C30" s="79">
        <v>5</v>
      </c>
      <c r="D30" s="80">
        <v>16</v>
      </c>
      <c r="E30" s="81">
        <v>4.7</v>
      </c>
      <c r="F30" s="80">
        <v>13</v>
      </c>
      <c r="G30" s="81">
        <v>4.4000000000000004</v>
      </c>
      <c r="H30" s="80">
        <v>13</v>
      </c>
      <c r="I30" s="81">
        <v>4.0999999999999996</v>
      </c>
      <c r="J30" s="80">
        <v>6</v>
      </c>
      <c r="K30" s="1374"/>
      <c r="L30" s="1374"/>
      <c r="M30" s="1366" t="s">
        <v>3335</v>
      </c>
      <c r="O30" s="1378"/>
      <c r="P30" s="1379"/>
      <c r="Q30" s="1378"/>
      <c r="R30" s="1380" t="s">
        <v>21</v>
      </c>
      <c r="S30" s="1379"/>
      <c r="T30" s="1366" t="s">
        <v>3370</v>
      </c>
    </row>
    <row r="31" spans="1:21" ht="12.95" x14ac:dyDescent="0.2">
      <c r="A31" s="1373"/>
      <c r="B31" s="1371"/>
      <c r="C31" s="79">
        <v>5.0999999999999996</v>
      </c>
      <c r="D31" s="80">
        <v>13</v>
      </c>
      <c r="E31" s="81">
        <v>4.8</v>
      </c>
      <c r="F31" s="80">
        <v>10</v>
      </c>
      <c r="G31" s="81">
        <v>4.5</v>
      </c>
      <c r="H31" s="80">
        <v>9</v>
      </c>
      <c r="I31" s="81">
        <v>4.2</v>
      </c>
      <c r="J31" s="80">
        <v>4</v>
      </c>
      <c r="K31" s="1374"/>
      <c r="L31" s="1374"/>
      <c r="M31" s="1366" t="s">
        <v>3335</v>
      </c>
      <c r="O31" s="1378"/>
      <c r="P31" s="1379"/>
      <c r="Q31" s="1378"/>
      <c r="R31" s="1381" t="s">
        <v>3893</v>
      </c>
      <c r="S31" s="1379" t="s">
        <v>3894</v>
      </c>
      <c r="T31" s="1382">
        <v>1</v>
      </c>
      <c r="U31" s="81">
        <v>3</v>
      </c>
    </row>
    <row r="32" spans="1:21" ht="12.95" x14ac:dyDescent="0.2">
      <c r="A32" s="1373"/>
      <c r="B32" s="1371"/>
      <c r="C32" s="79">
        <v>5.2</v>
      </c>
      <c r="D32" s="80">
        <v>10</v>
      </c>
      <c r="E32" s="81">
        <v>4.9000000000000004</v>
      </c>
      <c r="F32" s="80">
        <v>6</v>
      </c>
      <c r="G32" s="81">
        <v>4.5999999999999996</v>
      </c>
      <c r="H32" s="80">
        <v>5</v>
      </c>
      <c r="I32" s="81"/>
      <c r="J32" s="80"/>
      <c r="K32" s="1374"/>
      <c r="L32" s="1374"/>
      <c r="M32" s="1366" t="s">
        <v>3335</v>
      </c>
      <c r="O32" s="1378"/>
      <c r="P32" s="1379"/>
      <c r="Q32" s="1378">
        <v>0</v>
      </c>
      <c r="R32" s="1383">
        <v>1</v>
      </c>
      <c r="S32" s="1379" t="s">
        <v>3452</v>
      </c>
      <c r="T32" s="1382">
        <v>2</v>
      </c>
      <c r="U32" s="81">
        <v>3.1</v>
      </c>
    </row>
    <row r="33" spans="1:21" ht="12.95" x14ac:dyDescent="0.2">
      <c r="A33" s="1373"/>
      <c r="B33" s="1384"/>
      <c r="C33" s="79">
        <v>5.3</v>
      </c>
      <c r="D33" s="80">
        <v>7</v>
      </c>
      <c r="E33" s="81"/>
      <c r="F33" s="80"/>
      <c r="G33" s="81"/>
      <c r="H33" s="80"/>
      <c r="I33" s="81"/>
      <c r="J33" s="80"/>
      <c r="K33" s="1374"/>
      <c r="L33" s="1374"/>
      <c r="M33" s="1366" t="s">
        <v>3335</v>
      </c>
      <c r="O33" s="1378"/>
      <c r="P33" s="1379"/>
      <c r="Q33" s="1385">
        <v>4.1000000000000002E-2</v>
      </c>
      <c r="R33" s="1383">
        <v>2</v>
      </c>
      <c r="S33" s="1379" t="s">
        <v>3853</v>
      </c>
      <c r="T33" s="1382">
        <v>3</v>
      </c>
      <c r="U33" s="81">
        <v>3.2</v>
      </c>
    </row>
    <row r="34" spans="1:21" ht="12.95" x14ac:dyDescent="0.2">
      <c r="A34" s="1373"/>
      <c r="B34" s="115" t="s">
        <v>3336</v>
      </c>
      <c r="C34" s="79">
        <v>5.4</v>
      </c>
      <c r="D34" s="80">
        <v>6</v>
      </c>
      <c r="E34" s="81">
        <v>5</v>
      </c>
      <c r="F34" s="80">
        <v>5</v>
      </c>
      <c r="G34" s="81">
        <v>4.7</v>
      </c>
      <c r="H34" s="80">
        <v>4</v>
      </c>
      <c r="I34" s="81">
        <v>4.3</v>
      </c>
      <c r="J34" s="80">
        <v>3</v>
      </c>
      <c r="K34" s="1374"/>
      <c r="L34" s="1374"/>
      <c r="M34" s="1366" t="s">
        <v>3336</v>
      </c>
      <c r="O34" s="1378"/>
      <c r="P34" s="1379"/>
      <c r="Q34" s="1385">
        <v>8.1000000000000003E-2</v>
      </c>
      <c r="R34" s="1383">
        <v>3</v>
      </c>
      <c r="S34" s="1379" t="s">
        <v>3854</v>
      </c>
      <c r="T34" s="1382">
        <v>4</v>
      </c>
      <c r="U34" s="81">
        <v>3.3</v>
      </c>
    </row>
    <row r="35" spans="1:21" ht="12.95" x14ac:dyDescent="0.2">
      <c r="A35" s="1373"/>
      <c r="B35" s="1371"/>
      <c r="C35" s="79">
        <v>5.5</v>
      </c>
      <c r="D35" s="80">
        <v>6</v>
      </c>
      <c r="E35" s="81">
        <v>5.0999999999999996</v>
      </c>
      <c r="F35" s="80">
        <v>5</v>
      </c>
      <c r="G35" s="81">
        <v>4.8</v>
      </c>
      <c r="H35" s="80">
        <v>4</v>
      </c>
      <c r="I35" s="81">
        <v>4.4000000000000004</v>
      </c>
      <c r="J35" s="80">
        <v>3</v>
      </c>
      <c r="K35" s="1374"/>
      <c r="L35" s="1374"/>
      <c r="M35" s="1366" t="s">
        <v>3336</v>
      </c>
      <c r="O35" s="1378"/>
      <c r="P35" s="1379"/>
      <c r="Q35" s="1385">
        <v>0.151</v>
      </c>
      <c r="R35" s="1383">
        <v>4</v>
      </c>
      <c r="S35" s="1379" t="s">
        <v>3855</v>
      </c>
      <c r="T35" s="1382">
        <v>5</v>
      </c>
      <c r="U35" s="81">
        <v>3.4</v>
      </c>
    </row>
    <row r="36" spans="1:21" ht="12.95" x14ac:dyDescent="0.2">
      <c r="A36" s="1373"/>
      <c r="B36" s="1371"/>
      <c r="C36" s="79">
        <v>5.6</v>
      </c>
      <c r="D36" s="80">
        <v>6</v>
      </c>
      <c r="E36" s="81">
        <v>5.2</v>
      </c>
      <c r="F36" s="80">
        <v>5</v>
      </c>
      <c r="G36" s="81">
        <v>4.9000000000000004</v>
      </c>
      <c r="H36" s="80">
        <v>4</v>
      </c>
      <c r="I36" s="81">
        <v>4.5</v>
      </c>
      <c r="J36" s="80">
        <v>3</v>
      </c>
      <c r="K36" s="1374"/>
      <c r="L36" s="1374"/>
      <c r="M36" s="1366" t="s">
        <v>3336</v>
      </c>
      <c r="O36" s="1386"/>
      <c r="P36" s="1387"/>
      <c r="Q36" s="1388">
        <v>0.30099999999999999</v>
      </c>
      <c r="R36" s="1389">
        <v>5</v>
      </c>
      <c r="S36" s="1387" t="s">
        <v>3856</v>
      </c>
      <c r="T36" s="1382">
        <v>6</v>
      </c>
      <c r="U36" s="81">
        <v>3.5</v>
      </c>
    </row>
    <row r="37" spans="1:21" ht="12.95" x14ac:dyDescent="0.2">
      <c r="A37" s="1373"/>
      <c r="B37" s="1371"/>
      <c r="C37" s="79">
        <v>5.7</v>
      </c>
      <c r="D37" s="80">
        <v>6</v>
      </c>
      <c r="E37" s="81">
        <v>5.3</v>
      </c>
      <c r="F37" s="80">
        <v>5</v>
      </c>
      <c r="G37" s="81">
        <v>5</v>
      </c>
      <c r="H37" s="80">
        <v>4</v>
      </c>
      <c r="I37" s="81">
        <v>4.5999999999999996</v>
      </c>
      <c r="J37" s="80">
        <v>3</v>
      </c>
      <c r="K37" s="1374"/>
      <c r="L37" s="1374"/>
      <c r="M37" s="1366" t="s">
        <v>3336</v>
      </c>
      <c r="O37" s="1378"/>
      <c r="P37" s="1381"/>
      <c r="Q37" s="1381"/>
      <c r="R37" s="1381"/>
      <c r="S37" s="1379"/>
      <c r="T37" s="1382">
        <v>7</v>
      </c>
      <c r="U37" s="81">
        <v>3.6</v>
      </c>
    </row>
    <row r="38" spans="1:21" ht="12.95" x14ac:dyDescent="0.2">
      <c r="A38" s="1373"/>
      <c r="B38" s="1384"/>
      <c r="C38" s="79">
        <v>5.8</v>
      </c>
      <c r="D38" s="80">
        <v>6</v>
      </c>
      <c r="E38" s="81">
        <v>5.4</v>
      </c>
      <c r="F38" s="80">
        <v>5</v>
      </c>
      <c r="G38" s="81">
        <v>5.0999999999999996</v>
      </c>
      <c r="H38" s="80">
        <v>4</v>
      </c>
      <c r="I38" s="81">
        <v>4.7</v>
      </c>
      <c r="J38" s="80">
        <v>3</v>
      </c>
      <c r="K38" s="1374"/>
      <c r="L38" s="1374"/>
      <c r="M38" s="1366" t="s">
        <v>3336</v>
      </c>
      <c r="O38" s="1378"/>
      <c r="P38" s="1381"/>
      <c r="Q38" s="1381"/>
      <c r="R38" s="1381"/>
      <c r="S38" s="1379"/>
      <c r="T38" s="1382">
        <v>8</v>
      </c>
      <c r="U38" s="81">
        <v>3.7</v>
      </c>
    </row>
    <row r="39" spans="1:21" ht="12.95" x14ac:dyDescent="0.2">
      <c r="A39" s="1373"/>
      <c r="B39" s="115" t="s">
        <v>3337</v>
      </c>
      <c r="C39" s="79">
        <v>5.9</v>
      </c>
      <c r="D39" s="80">
        <v>0</v>
      </c>
      <c r="E39" s="81">
        <v>5.5</v>
      </c>
      <c r="F39" s="80">
        <v>0</v>
      </c>
      <c r="G39" s="81">
        <v>5.2</v>
      </c>
      <c r="H39" s="80">
        <v>0</v>
      </c>
      <c r="I39" s="81">
        <v>4.8</v>
      </c>
      <c r="J39" s="80">
        <v>0</v>
      </c>
      <c r="K39" s="1374"/>
      <c r="L39" s="1374"/>
      <c r="M39" s="1366" t="s">
        <v>3337</v>
      </c>
      <c r="O39" s="1378"/>
      <c r="P39" s="1381"/>
      <c r="Q39" s="1380" t="s">
        <v>3895</v>
      </c>
      <c r="R39" s="1390">
        <f>AB_Eingabe!E42</f>
        <v>0</v>
      </c>
      <c r="S39" s="1379"/>
      <c r="T39" s="1382">
        <v>9</v>
      </c>
      <c r="U39" s="81">
        <v>3.8</v>
      </c>
    </row>
    <row r="40" spans="1:21" ht="12.95" x14ac:dyDescent="0.2">
      <c r="A40" s="1373"/>
      <c r="B40" s="1371"/>
      <c r="C40" s="79">
        <v>6</v>
      </c>
      <c r="D40" s="80">
        <v>0</v>
      </c>
      <c r="E40" s="81">
        <v>5.6</v>
      </c>
      <c r="F40" s="80">
        <v>0</v>
      </c>
      <c r="G40" s="81">
        <v>5.3</v>
      </c>
      <c r="H40" s="80">
        <v>0</v>
      </c>
      <c r="I40" s="81">
        <v>4.9000000000000004</v>
      </c>
      <c r="J40" s="80">
        <v>0</v>
      </c>
      <c r="K40" s="1374"/>
      <c r="L40" s="1374"/>
      <c r="M40" s="1366" t="s">
        <v>3337</v>
      </c>
      <c r="O40" s="1378"/>
      <c r="P40" s="1381"/>
      <c r="Q40" s="1380" t="s">
        <v>3719</v>
      </c>
      <c r="R40" s="1391">
        <f>VLOOKUP($R$39,$Q$32:$R$36,$R$29,TRUE)</f>
        <v>1</v>
      </c>
      <c r="S40" s="1379"/>
      <c r="T40" s="1382">
        <v>10</v>
      </c>
      <c r="U40" s="81">
        <v>3.9</v>
      </c>
    </row>
    <row r="41" spans="1:21" x14ac:dyDescent="0.2">
      <c r="A41" s="1373"/>
      <c r="B41" s="1371"/>
      <c r="C41" s="79">
        <v>6.1</v>
      </c>
      <c r="D41" s="80">
        <v>0</v>
      </c>
      <c r="E41" s="81">
        <v>5.7</v>
      </c>
      <c r="F41" s="80">
        <v>0</v>
      </c>
      <c r="G41" s="81">
        <v>5.4</v>
      </c>
      <c r="H41" s="80">
        <v>0</v>
      </c>
      <c r="I41" s="81">
        <v>5</v>
      </c>
      <c r="J41" s="80">
        <v>0</v>
      </c>
      <c r="K41" s="1374"/>
      <c r="L41" s="1374"/>
      <c r="M41" s="1366" t="s">
        <v>3337</v>
      </c>
      <c r="O41" s="1378"/>
      <c r="P41" s="1381"/>
      <c r="Q41" s="1380" t="s">
        <v>3896</v>
      </c>
      <c r="R41" s="1390">
        <f>GL_Eingabe!F47</f>
        <v>0</v>
      </c>
      <c r="S41" s="1379"/>
      <c r="T41" s="1382">
        <v>11</v>
      </c>
      <c r="U41" s="81">
        <v>4</v>
      </c>
    </row>
    <row r="42" spans="1:21" ht="12.95" x14ac:dyDescent="0.2">
      <c r="A42" s="1373"/>
      <c r="B42" s="1384"/>
      <c r="C42" s="79">
        <v>6.2</v>
      </c>
      <c r="D42" s="80">
        <v>0</v>
      </c>
      <c r="E42" s="81">
        <v>5.8</v>
      </c>
      <c r="F42" s="80">
        <v>0</v>
      </c>
      <c r="G42" s="81"/>
      <c r="H42" s="80">
        <v>0</v>
      </c>
      <c r="I42" s="81">
        <v>5.0999999999999996</v>
      </c>
      <c r="J42" s="80">
        <v>0</v>
      </c>
      <c r="K42" s="1374"/>
      <c r="L42" s="1374"/>
      <c r="M42" s="1366" t="s">
        <v>3337</v>
      </c>
      <c r="O42" s="1386"/>
      <c r="P42" s="1392"/>
      <c r="Q42" s="1393" t="s">
        <v>3719</v>
      </c>
      <c r="R42" s="1394">
        <f>VLOOKUP($R$41,$Q$32:$R$36,$R$29,TRUE)</f>
        <v>1</v>
      </c>
      <c r="S42" s="1387"/>
      <c r="T42" s="1382">
        <v>12</v>
      </c>
      <c r="U42" s="81">
        <v>4.0999999999999996</v>
      </c>
    </row>
    <row r="43" spans="1:21" x14ac:dyDescent="0.2">
      <c r="A43" s="1373"/>
      <c r="B43" s="115" t="s">
        <v>3338</v>
      </c>
      <c r="C43" s="79" t="s">
        <v>3857</v>
      </c>
      <c r="D43" s="80">
        <v>0</v>
      </c>
      <c r="E43" s="81" t="s">
        <v>3858</v>
      </c>
      <c r="F43" s="80">
        <v>0</v>
      </c>
      <c r="G43" s="81" t="s">
        <v>3859</v>
      </c>
      <c r="H43" s="80">
        <v>0</v>
      </c>
      <c r="I43" s="81" t="s">
        <v>3860</v>
      </c>
      <c r="J43" s="80">
        <v>0</v>
      </c>
      <c r="K43" s="1374"/>
      <c r="L43" s="1374"/>
      <c r="M43" s="1366" t="s">
        <v>3338</v>
      </c>
      <c r="T43" s="1367">
        <v>13</v>
      </c>
      <c r="U43" s="81">
        <v>4.2</v>
      </c>
    </row>
    <row r="44" spans="1:21" x14ac:dyDescent="0.2">
      <c r="A44" s="1373"/>
      <c r="B44" s="115" t="s">
        <v>3338</v>
      </c>
      <c r="C44" s="79">
        <v>6.3</v>
      </c>
      <c r="D44" s="80">
        <v>0</v>
      </c>
      <c r="E44" s="81">
        <v>5.9</v>
      </c>
      <c r="F44" s="80">
        <v>0</v>
      </c>
      <c r="G44" s="81">
        <v>5.5</v>
      </c>
      <c r="H44" s="80">
        <v>0</v>
      </c>
      <c r="I44" s="81">
        <v>5.2</v>
      </c>
      <c r="J44" s="80">
        <v>0</v>
      </c>
      <c r="K44" s="113">
        <v>1</v>
      </c>
      <c r="L44" s="1374"/>
      <c r="M44" s="1366" t="s">
        <v>3338</v>
      </c>
      <c r="T44" s="1367">
        <v>14</v>
      </c>
      <c r="U44" s="81">
        <v>4.3</v>
      </c>
    </row>
    <row r="45" spans="1:21" x14ac:dyDescent="0.2">
      <c r="A45" s="1373"/>
      <c r="C45" s="112">
        <v>10</v>
      </c>
      <c r="D45" s="112">
        <v>0</v>
      </c>
      <c r="E45" s="112">
        <v>10</v>
      </c>
      <c r="F45" s="112">
        <v>0</v>
      </c>
      <c r="G45" s="112">
        <v>10</v>
      </c>
      <c r="H45" s="112">
        <v>0</v>
      </c>
      <c r="I45" s="112">
        <v>10</v>
      </c>
      <c r="J45" s="112">
        <v>0</v>
      </c>
      <c r="K45" s="112">
        <v>10</v>
      </c>
      <c r="L45" s="112">
        <v>0</v>
      </c>
      <c r="M45" s="1366" t="s">
        <v>3338</v>
      </c>
      <c r="T45" s="1367">
        <v>15</v>
      </c>
      <c r="U45" s="81">
        <v>4.4000000000000004</v>
      </c>
    </row>
    <row r="46" spans="1:21" x14ac:dyDescent="0.2">
      <c r="A46" s="1373"/>
      <c r="B46" s="114" t="s">
        <v>3861</v>
      </c>
      <c r="D46" s="112">
        <f>IF(AND($A18=$H$270,$D12=$H$271),VLOOKUP($I$272,C19:D45,2,TRUE),0)</f>
        <v>0</v>
      </c>
      <c r="F46" s="112">
        <f>IF(AND($A$18=$H$270,$F$12=$H$271),VLOOKUP($I$272,E19:F45,2,TRUE),0)</f>
        <v>0</v>
      </c>
      <c r="H46" s="112">
        <f>IF(AND($A$18=$H$270,$H$12=$H$271),VLOOKUP($I$272,G19:H45,2,TRUE),0)</f>
        <v>0</v>
      </c>
      <c r="J46" s="112">
        <f>IF(AND($A$18=$H$270,$J$12=$H$271),VLOOKUP($I$272,I19:J45,2,TRUE),0)</f>
        <v>0</v>
      </c>
      <c r="K46" s="112"/>
      <c r="L46" s="112">
        <f>IF(AND($A$18=$H$270,$L$12=$H$271),VLOOKUP($I$272,L19:M45,2,TRUE),0)</f>
        <v>0</v>
      </c>
      <c r="M46" s="1366">
        <f>MAX(D46:L46)</f>
        <v>0</v>
      </c>
      <c r="T46" s="1367">
        <v>16</v>
      </c>
      <c r="U46" s="81">
        <v>4.5</v>
      </c>
    </row>
    <row r="47" spans="1:21" x14ac:dyDescent="0.2">
      <c r="A47" s="1373"/>
      <c r="B47" s="114" t="s">
        <v>3862</v>
      </c>
      <c r="C47" s="1395" t="str">
        <f>IF(AND($A18=$H$270,$D12=$H$271),VLOOKUP($I$272,C19:$M45,11,TRUE),"")</f>
        <v/>
      </c>
      <c r="D47" s="112"/>
      <c r="E47" s="1395" t="str">
        <f>IF(AND($A$18=$H$270,$F$12=$H$271),VLOOKUP($I$272,E19:$M45,9,TRUE),"")</f>
        <v/>
      </c>
      <c r="F47" s="112"/>
      <c r="G47" s="1395" t="str">
        <f>IF(AND($A$18=$H$270,$H$12=$H$271),VLOOKUP($I$272,G19:$M45,7,TRUE),"")</f>
        <v/>
      </c>
      <c r="H47" s="112"/>
      <c r="I47" s="1395" t="str">
        <f>IF(AND($A$18=$H$270,$J$12=$H$271),VLOOKUP($I$272,I19:$M45,5,TRUE),"")</f>
        <v/>
      </c>
      <c r="J47" s="112"/>
      <c r="K47" s="1395" t="str">
        <f>IF(AND($A$18=$H$270,$L$12=$H$271),VLOOKUP($I$272,K19:$M45,3,TRUE),"")</f>
        <v/>
      </c>
      <c r="L47" s="112"/>
      <c r="M47" s="1396" t="str">
        <f>C47&amp;E47&amp;G47&amp;I47&amp;K47</f>
        <v/>
      </c>
      <c r="T47" s="1367">
        <v>17</v>
      </c>
      <c r="U47" s="81">
        <v>4.5999999999999996</v>
      </c>
    </row>
    <row r="48" spans="1:21" x14ac:dyDescent="0.2">
      <c r="A48" s="1373"/>
      <c r="D48" s="112"/>
      <c r="F48" s="112"/>
      <c r="H48" s="112"/>
      <c r="J48" s="112"/>
      <c r="K48" s="112"/>
      <c r="L48" s="112"/>
      <c r="T48" s="1367">
        <v>18</v>
      </c>
      <c r="U48" s="81">
        <v>4.7</v>
      </c>
    </row>
    <row r="49" spans="1:21" x14ac:dyDescent="0.2">
      <c r="T49" s="1367">
        <v>19</v>
      </c>
      <c r="U49" s="81">
        <v>4.8</v>
      </c>
    </row>
    <row r="50" spans="1:21" x14ac:dyDescent="0.2">
      <c r="C50" s="1981" t="s">
        <v>21</v>
      </c>
      <c r="D50" s="1982"/>
      <c r="E50" s="1982"/>
      <c r="F50" s="1982"/>
      <c r="G50" s="1982"/>
      <c r="H50" s="1982"/>
      <c r="I50" s="1982"/>
      <c r="J50" s="1983"/>
      <c r="T50" s="1367">
        <v>20</v>
      </c>
      <c r="U50" s="81">
        <v>4.9000000000000004</v>
      </c>
    </row>
    <row r="51" spans="1:21" x14ac:dyDescent="0.2">
      <c r="C51" s="1981" t="s">
        <v>3844</v>
      </c>
      <c r="D51" s="1983"/>
      <c r="E51" s="1981" t="s">
        <v>3845</v>
      </c>
      <c r="F51" s="1983"/>
      <c r="G51" s="1981" t="s">
        <v>3319</v>
      </c>
      <c r="H51" s="1983"/>
      <c r="I51" s="1981" t="s">
        <v>3320</v>
      </c>
      <c r="J51" s="1983"/>
      <c r="K51" s="1981" t="s">
        <v>3846</v>
      </c>
      <c r="L51" s="1983"/>
      <c r="T51" s="1367">
        <v>21</v>
      </c>
      <c r="U51" s="81">
        <v>5</v>
      </c>
    </row>
    <row r="52" spans="1:21" x14ac:dyDescent="0.2">
      <c r="T52" s="1367">
        <v>22</v>
      </c>
      <c r="U52" s="81">
        <v>5.0999999999999996</v>
      </c>
    </row>
    <row r="53" spans="1:21" x14ac:dyDescent="0.2">
      <c r="B53" s="1368" t="s">
        <v>3326</v>
      </c>
      <c r="C53" s="1369" t="s">
        <v>3327</v>
      </c>
      <c r="D53" s="1370" t="s">
        <v>3847</v>
      </c>
      <c r="E53" s="1370" t="s">
        <v>3327</v>
      </c>
      <c r="F53" s="1370" t="s">
        <v>3847</v>
      </c>
      <c r="G53" s="1370" t="s">
        <v>3327</v>
      </c>
      <c r="H53" s="1370" t="s">
        <v>3847</v>
      </c>
      <c r="I53" s="1370" t="s">
        <v>3327</v>
      </c>
      <c r="J53" s="1370" t="s">
        <v>3847</v>
      </c>
      <c r="K53" s="1370" t="s">
        <v>3327</v>
      </c>
      <c r="L53" s="1370" t="s">
        <v>3847</v>
      </c>
      <c r="T53" s="1367">
        <v>23</v>
      </c>
      <c r="U53" s="81">
        <v>5.2</v>
      </c>
    </row>
    <row r="54" spans="1:21" x14ac:dyDescent="0.2">
      <c r="B54" s="1371"/>
      <c r="T54" s="1367">
        <v>24</v>
      </c>
      <c r="U54" s="81">
        <v>5.3000000000000096</v>
      </c>
    </row>
    <row r="55" spans="1:21" x14ac:dyDescent="0.2">
      <c r="A55" s="1397">
        <f>B260</f>
        <v>2</v>
      </c>
      <c r="B55" s="1984" t="s">
        <v>3863</v>
      </c>
      <c r="C55" s="1985"/>
      <c r="D55" s="1985"/>
      <c r="E55" s="1985"/>
      <c r="F55" s="1985"/>
      <c r="G55" s="1985"/>
      <c r="H55" s="1985"/>
      <c r="I55" s="1985"/>
      <c r="J55" s="1985"/>
      <c r="K55" s="1985"/>
      <c r="L55" s="1985"/>
      <c r="T55" s="1367">
        <v>25</v>
      </c>
      <c r="U55" s="81">
        <v>5.4000000000000101</v>
      </c>
    </row>
    <row r="56" spans="1:21" ht="12.95" x14ac:dyDescent="0.2">
      <c r="A56" s="1398"/>
      <c r="B56" s="1371"/>
      <c r="C56" s="112">
        <v>1</v>
      </c>
      <c r="D56" s="112">
        <v>77</v>
      </c>
      <c r="E56" s="112">
        <v>1</v>
      </c>
      <c r="F56" s="112">
        <v>82</v>
      </c>
      <c r="G56" s="112">
        <v>1</v>
      </c>
      <c r="H56" s="112">
        <v>83</v>
      </c>
      <c r="I56" s="112">
        <v>1</v>
      </c>
      <c r="J56" s="112">
        <v>31</v>
      </c>
      <c r="K56" s="112">
        <v>1</v>
      </c>
      <c r="L56" s="112">
        <v>0</v>
      </c>
      <c r="M56" s="1366" t="s">
        <v>3330</v>
      </c>
      <c r="T56" s="1367">
        <v>26</v>
      </c>
      <c r="U56" s="81">
        <v>5.5000000000000098</v>
      </c>
    </row>
    <row r="57" spans="1:21" x14ac:dyDescent="0.2">
      <c r="A57" s="1398"/>
      <c r="B57" s="115" t="s">
        <v>3330</v>
      </c>
      <c r="C57" s="79" t="s">
        <v>3849</v>
      </c>
      <c r="D57" s="80">
        <v>77</v>
      </c>
      <c r="E57" s="81" t="s">
        <v>3850</v>
      </c>
      <c r="F57" s="80">
        <v>82</v>
      </c>
      <c r="G57" s="81" t="s">
        <v>3864</v>
      </c>
      <c r="H57" s="80">
        <v>83</v>
      </c>
      <c r="I57" s="81" t="s">
        <v>3865</v>
      </c>
      <c r="J57" s="80">
        <v>31</v>
      </c>
      <c r="K57" s="1374"/>
      <c r="L57" s="1374"/>
      <c r="M57" s="1366" t="s">
        <v>3330</v>
      </c>
      <c r="T57" s="1367">
        <v>27</v>
      </c>
      <c r="U57" s="81">
        <v>5.6000000000000103</v>
      </c>
    </row>
    <row r="58" spans="1:21" x14ac:dyDescent="0.2">
      <c r="A58" s="1398"/>
      <c r="B58" s="1371"/>
      <c r="C58" s="79">
        <v>4.0999999999999996</v>
      </c>
      <c r="D58" s="80">
        <v>73</v>
      </c>
      <c r="E58" s="81">
        <v>3.8</v>
      </c>
      <c r="F58" s="80">
        <v>78</v>
      </c>
      <c r="G58" s="81">
        <v>3.4</v>
      </c>
      <c r="H58" s="80">
        <v>78</v>
      </c>
      <c r="I58" s="81">
        <v>3.1</v>
      </c>
      <c r="J58" s="80">
        <v>29</v>
      </c>
      <c r="K58" s="1374"/>
      <c r="L58" s="1374"/>
      <c r="M58" s="1366" t="s">
        <v>3330</v>
      </c>
      <c r="T58" s="1367">
        <v>28</v>
      </c>
      <c r="U58" s="81">
        <v>5.7000000000000099</v>
      </c>
    </row>
    <row r="59" spans="1:21" x14ac:dyDescent="0.2">
      <c r="A59" s="1398"/>
      <c r="B59" s="1371"/>
      <c r="C59" s="79">
        <v>4.2</v>
      </c>
      <c r="D59" s="80">
        <v>69</v>
      </c>
      <c r="E59" s="81">
        <v>3.9</v>
      </c>
      <c r="F59" s="80">
        <v>73</v>
      </c>
      <c r="G59" s="81">
        <v>3.5</v>
      </c>
      <c r="H59" s="80">
        <v>74</v>
      </c>
      <c r="I59" s="81">
        <v>3.2</v>
      </c>
      <c r="J59" s="80">
        <v>27</v>
      </c>
      <c r="K59" s="1374"/>
      <c r="L59" s="1374"/>
      <c r="M59" s="1366" t="s">
        <v>3330</v>
      </c>
      <c r="T59" s="1367">
        <v>29</v>
      </c>
      <c r="U59" s="81">
        <v>5.8000000000000096</v>
      </c>
    </row>
    <row r="60" spans="1:21" x14ac:dyDescent="0.2">
      <c r="A60" s="1398"/>
      <c r="B60" s="1371"/>
      <c r="C60" s="79">
        <v>4.3</v>
      </c>
      <c r="D60" s="80">
        <v>65</v>
      </c>
      <c r="E60" s="81">
        <v>4</v>
      </c>
      <c r="F60" s="80">
        <v>69</v>
      </c>
      <c r="G60" s="81">
        <v>3.6</v>
      </c>
      <c r="H60" s="80">
        <v>69</v>
      </c>
      <c r="I60" s="81">
        <v>3.3</v>
      </c>
      <c r="J60" s="80">
        <v>26</v>
      </c>
      <c r="K60" s="1374"/>
      <c r="L60" s="1374"/>
      <c r="M60" s="1366" t="s">
        <v>3330</v>
      </c>
      <c r="T60" s="1367">
        <v>30</v>
      </c>
      <c r="U60" s="81">
        <v>5.9000000000000101</v>
      </c>
    </row>
    <row r="61" spans="1:21" x14ac:dyDescent="0.2">
      <c r="A61" s="1398"/>
      <c r="B61" s="1371"/>
      <c r="C61" s="79">
        <v>4.4000000000000004</v>
      </c>
      <c r="D61" s="80">
        <v>61</v>
      </c>
      <c r="E61" s="81">
        <v>4.0999999999999996</v>
      </c>
      <c r="F61" s="80">
        <v>64</v>
      </c>
      <c r="G61" s="81">
        <v>3.7</v>
      </c>
      <c r="H61" s="80">
        <v>64</v>
      </c>
      <c r="I61" s="81">
        <v>3.4</v>
      </c>
      <c r="J61" s="80">
        <v>24</v>
      </c>
      <c r="K61" s="1374"/>
      <c r="L61" s="1374"/>
      <c r="M61" s="1366" t="s">
        <v>3330</v>
      </c>
      <c r="T61" s="1367">
        <v>31</v>
      </c>
      <c r="U61" s="81">
        <v>6.0000000000000098</v>
      </c>
    </row>
    <row r="62" spans="1:21" x14ac:dyDescent="0.2">
      <c r="A62" s="1398"/>
      <c r="B62" s="1371"/>
      <c r="C62" s="79">
        <v>4.5</v>
      </c>
      <c r="D62" s="80">
        <v>57</v>
      </c>
      <c r="E62" s="81">
        <v>4.2</v>
      </c>
      <c r="F62" s="80">
        <v>60</v>
      </c>
      <c r="G62" s="81">
        <v>3.8</v>
      </c>
      <c r="H62" s="80">
        <v>60</v>
      </c>
      <c r="I62" s="81">
        <v>3.5</v>
      </c>
      <c r="J62" s="80">
        <v>22</v>
      </c>
      <c r="K62" s="1374"/>
      <c r="L62" s="1374"/>
      <c r="M62" s="1366" t="s">
        <v>3330</v>
      </c>
      <c r="T62" s="1367">
        <v>32</v>
      </c>
      <c r="U62" s="81">
        <v>6.1000000000000103</v>
      </c>
    </row>
    <row r="63" spans="1:21" x14ac:dyDescent="0.2">
      <c r="A63" s="1398"/>
      <c r="B63" s="1371"/>
      <c r="C63" s="79">
        <v>4.5999999999999996</v>
      </c>
      <c r="D63" s="80">
        <v>53</v>
      </c>
      <c r="E63" s="81">
        <v>4.3</v>
      </c>
      <c r="F63" s="80">
        <v>55</v>
      </c>
      <c r="G63" s="81">
        <v>3.9</v>
      </c>
      <c r="H63" s="80">
        <v>55</v>
      </c>
      <c r="I63" s="81">
        <v>3.6</v>
      </c>
      <c r="J63" s="80">
        <v>20</v>
      </c>
      <c r="K63" s="1374"/>
      <c r="L63" s="1374"/>
      <c r="M63" s="1366" t="s">
        <v>3330</v>
      </c>
      <c r="T63" s="1367">
        <v>33</v>
      </c>
      <c r="U63" s="81">
        <v>6.2000000000000099</v>
      </c>
    </row>
    <row r="64" spans="1:21" x14ac:dyDescent="0.2">
      <c r="A64" s="1398"/>
      <c r="B64" s="1371"/>
      <c r="C64" s="79">
        <v>4.7</v>
      </c>
      <c r="D64" s="80">
        <v>49</v>
      </c>
      <c r="E64" s="81">
        <v>4.4000000000000004</v>
      </c>
      <c r="F64" s="80">
        <v>51</v>
      </c>
      <c r="G64" s="81">
        <v>4</v>
      </c>
      <c r="H64" s="80">
        <v>51</v>
      </c>
      <c r="I64" s="81">
        <v>3.7</v>
      </c>
      <c r="J64" s="80">
        <v>19</v>
      </c>
      <c r="K64" s="1374"/>
      <c r="L64" s="1374"/>
      <c r="M64" s="1366" t="s">
        <v>3330</v>
      </c>
      <c r="T64" s="1367">
        <v>34</v>
      </c>
      <c r="U64" s="81">
        <v>6.3000000000000096</v>
      </c>
    </row>
    <row r="65" spans="1:21" x14ac:dyDescent="0.2">
      <c r="A65" s="1398"/>
      <c r="B65" s="1371"/>
      <c r="C65" s="79">
        <v>4.8</v>
      </c>
      <c r="D65" s="80">
        <v>46</v>
      </c>
      <c r="E65" s="81">
        <v>4.5</v>
      </c>
      <c r="F65" s="80">
        <v>46</v>
      </c>
      <c r="G65" s="81">
        <v>4.0999999999999996</v>
      </c>
      <c r="H65" s="80">
        <v>46</v>
      </c>
      <c r="K65" s="1374"/>
      <c r="L65" s="1374"/>
      <c r="M65" s="1366" t="s">
        <v>3330</v>
      </c>
      <c r="T65" s="1367">
        <v>35</v>
      </c>
      <c r="U65" s="81">
        <v>6.4000000000000101</v>
      </c>
    </row>
    <row r="66" spans="1:21" x14ac:dyDescent="0.2">
      <c r="A66" s="1398"/>
      <c r="B66" s="115" t="s">
        <v>3335</v>
      </c>
      <c r="C66" s="79">
        <v>4.9000000000000004</v>
      </c>
      <c r="D66" s="80">
        <v>42</v>
      </c>
      <c r="E66" s="81">
        <v>4.5999999999999996</v>
      </c>
      <c r="F66" s="80">
        <v>42</v>
      </c>
      <c r="G66" s="81">
        <v>4.2</v>
      </c>
      <c r="H66" s="80">
        <v>41</v>
      </c>
      <c r="I66" s="81">
        <v>3.8</v>
      </c>
      <c r="J66" s="80">
        <v>17</v>
      </c>
      <c r="K66" s="1374"/>
      <c r="L66" s="1374"/>
      <c r="M66" s="1366" t="s">
        <v>3335</v>
      </c>
      <c r="T66" s="1367">
        <v>36</v>
      </c>
      <c r="U66" s="81">
        <v>6.5000000000000098</v>
      </c>
    </row>
    <row r="67" spans="1:21" x14ac:dyDescent="0.2">
      <c r="A67" s="1398"/>
      <c r="B67" s="1371"/>
      <c r="C67" s="79">
        <v>5</v>
      </c>
      <c r="D67" s="80">
        <v>38</v>
      </c>
      <c r="E67" s="81">
        <v>4.7</v>
      </c>
      <c r="F67" s="80">
        <v>37</v>
      </c>
      <c r="G67" s="81">
        <v>4.3</v>
      </c>
      <c r="H67" s="80">
        <v>37</v>
      </c>
      <c r="I67" s="81">
        <v>3.9</v>
      </c>
      <c r="J67" s="80">
        <v>15</v>
      </c>
      <c r="K67" s="1374"/>
      <c r="L67" s="1374"/>
      <c r="M67" s="1366" t="s">
        <v>3335</v>
      </c>
      <c r="T67" s="1367">
        <v>37</v>
      </c>
      <c r="U67" s="81">
        <v>6.6000000000000103</v>
      </c>
    </row>
    <row r="68" spans="1:21" x14ac:dyDescent="0.2">
      <c r="A68" s="1398"/>
      <c r="B68" s="1371"/>
      <c r="C68" s="79">
        <v>5.0999999999999996</v>
      </c>
      <c r="D68" s="80">
        <v>34</v>
      </c>
      <c r="E68" s="81">
        <v>4.8</v>
      </c>
      <c r="F68" s="80">
        <v>33</v>
      </c>
      <c r="G68" s="81">
        <v>4.4000000000000004</v>
      </c>
      <c r="H68" s="80">
        <v>32</v>
      </c>
      <c r="I68" s="81">
        <v>4</v>
      </c>
      <c r="J68" s="80">
        <v>14</v>
      </c>
      <c r="K68" s="1374"/>
      <c r="L68" s="1374"/>
      <c r="M68" s="1366" t="s">
        <v>3335</v>
      </c>
      <c r="T68" s="1367">
        <v>38</v>
      </c>
      <c r="U68" s="81">
        <v>6.7000000000000099</v>
      </c>
    </row>
    <row r="69" spans="1:21" x14ac:dyDescent="0.2">
      <c r="A69" s="1398"/>
      <c r="B69" s="1371"/>
      <c r="C69" s="79">
        <v>5.2</v>
      </c>
      <c r="D69" s="80">
        <v>30</v>
      </c>
      <c r="E69" s="81">
        <v>4.9000000000000004</v>
      </c>
      <c r="F69" s="80">
        <v>28</v>
      </c>
      <c r="G69" s="81">
        <v>4.5</v>
      </c>
      <c r="H69" s="80">
        <v>27</v>
      </c>
      <c r="I69" s="81">
        <v>4.0999999999999996</v>
      </c>
      <c r="J69" s="80">
        <v>12</v>
      </c>
      <c r="K69" s="1374"/>
      <c r="L69" s="1374"/>
      <c r="M69" s="1366" t="s">
        <v>3335</v>
      </c>
      <c r="T69" s="1367">
        <v>39</v>
      </c>
      <c r="U69" s="81">
        <v>6.8000000000000096</v>
      </c>
    </row>
    <row r="70" spans="1:21" x14ac:dyDescent="0.2">
      <c r="A70" s="1398"/>
      <c r="B70" s="1371"/>
      <c r="C70" s="79">
        <v>5.3</v>
      </c>
      <c r="D70" s="80">
        <v>26</v>
      </c>
      <c r="E70" s="81">
        <v>5</v>
      </c>
      <c r="F70" s="80">
        <v>24</v>
      </c>
      <c r="G70" s="81">
        <v>4.5999999999999996</v>
      </c>
      <c r="H70" s="80">
        <v>23</v>
      </c>
      <c r="I70" s="81">
        <v>4.2</v>
      </c>
      <c r="J70" s="80">
        <v>10</v>
      </c>
      <c r="K70" s="1374"/>
      <c r="L70" s="1374"/>
      <c r="M70" s="1366" t="s">
        <v>3335</v>
      </c>
      <c r="T70" s="1367">
        <v>40</v>
      </c>
      <c r="U70" s="81">
        <v>6.9000000000000101</v>
      </c>
    </row>
    <row r="71" spans="1:21" x14ac:dyDescent="0.2">
      <c r="A71" s="1398"/>
      <c r="B71" s="1371"/>
      <c r="C71" s="79">
        <v>5.4</v>
      </c>
      <c r="D71" s="80">
        <v>22</v>
      </c>
      <c r="E71" s="81">
        <v>5.0999999999999996</v>
      </c>
      <c r="F71" s="80">
        <v>19</v>
      </c>
      <c r="G71" s="81">
        <v>4.7</v>
      </c>
      <c r="H71" s="80">
        <v>18</v>
      </c>
      <c r="I71" s="81">
        <v>4.3</v>
      </c>
      <c r="J71" s="80">
        <v>8</v>
      </c>
      <c r="K71" s="1374"/>
      <c r="L71" s="1374"/>
      <c r="M71" s="1366" t="s">
        <v>3335</v>
      </c>
      <c r="T71" s="1367">
        <v>41</v>
      </c>
      <c r="U71" s="81">
        <v>7.0000000000000098</v>
      </c>
    </row>
    <row r="72" spans="1:21" x14ac:dyDescent="0.2">
      <c r="A72" s="1398"/>
      <c r="B72" s="1371"/>
      <c r="C72" s="79">
        <v>5.5</v>
      </c>
      <c r="D72" s="80">
        <v>19</v>
      </c>
      <c r="E72" s="81">
        <v>5.2</v>
      </c>
      <c r="F72" s="80">
        <v>15</v>
      </c>
      <c r="G72" s="81">
        <v>4.8</v>
      </c>
      <c r="H72" s="80">
        <v>13</v>
      </c>
      <c r="I72" s="81">
        <v>4.4000000000000004</v>
      </c>
      <c r="J72" s="80">
        <v>7</v>
      </c>
      <c r="K72" s="1374"/>
      <c r="L72" s="1374"/>
      <c r="M72" s="1366" t="s">
        <v>3335</v>
      </c>
      <c r="T72" s="1367">
        <v>42</v>
      </c>
      <c r="U72" s="81">
        <v>7.1000000000000103</v>
      </c>
    </row>
    <row r="73" spans="1:21" x14ac:dyDescent="0.2">
      <c r="A73" s="1398"/>
      <c r="B73" s="1371"/>
      <c r="C73" s="79">
        <v>5.6</v>
      </c>
      <c r="D73" s="80">
        <v>15</v>
      </c>
      <c r="E73" s="81">
        <v>5.3</v>
      </c>
      <c r="F73" s="80">
        <v>10</v>
      </c>
      <c r="G73" s="81">
        <v>4.9000000000000004</v>
      </c>
      <c r="H73" s="80">
        <v>9</v>
      </c>
      <c r="I73" s="81">
        <v>4.5</v>
      </c>
      <c r="J73" s="80">
        <v>5</v>
      </c>
      <c r="K73" s="1374"/>
      <c r="L73" s="1374"/>
      <c r="M73" s="1366" t="s">
        <v>3335</v>
      </c>
      <c r="T73" s="1367">
        <v>43</v>
      </c>
      <c r="U73" s="81">
        <v>7.2000000000000197</v>
      </c>
    </row>
    <row r="74" spans="1:21" x14ac:dyDescent="0.2">
      <c r="A74" s="1398"/>
      <c r="B74" s="1371"/>
      <c r="C74" s="79">
        <v>5.7</v>
      </c>
      <c r="D74" s="80">
        <v>11</v>
      </c>
      <c r="E74" s="81"/>
      <c r="F74" s="80"/>
      <c r="G74" s="81"/>
      <c r="H74" s="80"/>
      <c r="I74" s="81"/>
      <c r="J74" s="80"/>
      <c r="K74" s="1374"/>
      <c r="L74" s="1374"/>
      <c r="M74" s="1366" t="s">
        <v>3335</v>
      </c>
      <c r="T74" s="1367">
        <v>44</v>
      </c>
      <c r="U74" s="81">
        <v>7.3000000000000203</v>
      </c>
    </row>
    <row r="75" spans="1:21" x14ac:dyDescent="0.2">
      <c r="A75" s="1398"/>
      <c r="B75" s="115" t="s">
        <v>3336</v>
      </c>
      <c r="C75" s="79">
        <v>5.8</v>
      </c>
      <c r="D75" s="80">
        <v>10</v>
      </c>
      <c r="E75" s="81">
        <v>5.4</v>
      </c>
      <c r="F75" s="80">
        <v>9</v>
      </c>
      <c r="G75" s="81">
        <v>5</v>
      </c>
      <c r="H75" s="80">
        <v>8</v>
      </c>
      <c r="I75" s="81">
        <v>4.5999999999999996</v>
      </c>
      <c r="J75" s="80">
        <v>4</v>
      </c>
      <c r="K75" s="1374"/>
      <c r="L75" s="1374"/>
      <c r="M75" s="1366" t="s">
        <v>3336</v>
      </c>
      <c r="T75" s="1367">
        <v>45</v>
      </c>
      <c r="U75" s="81">
        <v>7.4000000000000199</v>
      </c>
    </row>
    <row r="76" spans="1:21" x14ac:dyDescent="0.2">
      <c r="A76" s="1398"/>
      <c r="B76" s="1371"/>
      <c r="C76" s="79">
        <v>5.9</v>
      </c>
      <c r="D76" s="80">
        <v>10</v>
      </c>
      <c r="E76" s="81">
        <v>5.6</v>
      </c>
      <c r="F76" s="80">
        <v>9</v>
      </c>
      <c r="G76" s="81">
        <v>5.0999999999999996</v>
      </c>
      <c r="H76" s="80">
        <v>8</v>
      </c>
      <c r="I76" s="81">
        <v>4.7</v>
      </c>
      <c r="J76" s="80">
        <v>4</v>
      </c>
      <c r="K76" s="1374"/>
      <c r="L76" s="1374"/>
      <c r="M76" s="1366" t="s">
        <v>3336</v>
      </c>
      <c r="T76" s="1367">
        <v>46</v>
      </c>
      <c r="U76" s="81">
        <v>7.5000000000000204</v>
      </c>
    </row>
    <row r="77" spans="1:21" x14ac:dyDescent="0.2">
      <c r="A77" s="1398"/>
      <c r="B77" s="1371"/>
      <c r="C77" s="79">
        <v>6</v>
      </c>
      <c r="D77" s="80">
        <v>10</v>
      </c>
      <c r="E77" s="81">
        <v>5.7</v>
      </c>
      <c r="F77" s="80">
        <v>9</v>
      </c>
      <c r="G77" s="81">
        <v>5.2</v>
      </c>
      <c r="H77" s="80">
        <v>8</v>
      </c>
      <c r="I77" s="81">
        <v>4.8</v>
      </c>
      <c r="J77" s="80">
        <v>4</v>
      </c>
      <c r="K77" s="1374"/>
      <c r="L77" s="1374"/>
      <c r="M77" s="1366" t="s">
        <v>3336</v>
      </c>
      <c r="T77" s="1367">
        <v>47</v>
      </c>
      <c r="U77" s="81">
        <v>7.6000000000000201</v>
      </c>
    </row>
    <row r="78" spans="1:21" x14ac:dyDescent="0.2">
      <c r="A78" s="1398"/>
      <c r="B78" s="1371"/>
      <c r="C78" s="79">
        <v>6.1</v>
      </c>
      <c r="D78" s="80">
        <v>10</v>
      </c>
      <c r="E78" s="81">
        <v>5.8</v>
      </c>
      <c r="F78" s="80">
        <v>9</v>
      </c>
      <c r="G78" s="81">
        <v>5.3</v>
      </c>
      <c r="H78" s="80">
        <v>8</v>
      </c>
      <c r="I78" s="81">
        <v>4.9000000000000004</v>
      </c>
      <c r="J78" s="80">
        <v>4</v>
      </c>
      <c r="K78" s="1374"/>
      <c r="L78" s="1374"/>
      <c r="M78" s="1366" t="s">
        <v>3336</v>
      </c>
      <c r="T78" s="1367">
        <v>48</v>
      </c>
      <c r="U78" s="81">
        <v>7.7000000000000197</v>
      </c>
    </row>
    <row r="79" spans="1:21" x14ac:dyDescent="0.2">
      <c r="A79" s="1398"/>
      <c r="B79" s="1371"/>
      <c r="C79" s="79">
        <v>6.2</v>
      </c>
      <c r="D79" s="80">
        <v>10</v>
      </c>
      <c r="E79" s="81">
        <v>5.9</v>
      </c>
      <c r="F79" s="80">
        <v>9</v>
      </c>
      <c r="G79" s="81">
        <v>5.4</v>
      </c>
      <c r="H79" s="80">
        <v>8</v>
      </c>
      <c r="I79" s="81">
        <v>5</v>
      </c>
      <c r="J79" s="80">
        <v>4</v>
      </c>
      <c r="K79" s="1374"/>
      <c r="L79" s="1374"/>
      <c r="M79" s="1366" t="s">
        <v>3336</v>
      </c>
      <c r="T79" s="1367">
        <v>49</v>
      </c>
      <c r="U79" s="81">
        <v>7.8000000000000203</v>
      </c>
    </row>
    <row r="80" spans="1:21" x14ac:dyDescent="0.2">
      <c r="A80" s="1398"/>
      <c r="B80" s="1371"/>
      <c r="C80" s="79">
        <v>6.3</v>
      </c>
      <c r="D80" s="80">
        <v>10</v>
      </c>
      <c r="E80" s="81"/>
      <c r="F80" s="80"/>
      <c r="G80" s="81">
        <v>5.5</v>
      </c>
      <c r="H80" s="80">
        <v>8</v>
      </c>
      <c r="I80" s="81">
        <v>5.0999999999999996</v>
      </c>
      <c r="J80" s="80">
        <v>4</v>
      </c>
      <c r="K80" s="1374"/>
      <c r="L80" s="1374"/>
      <c r="M80" s="1366" t="s">
        <v>3336</v>
      </c>
    </row>
    <row r="81" spans="1:13" x14ac:dyDescent="0.2">
      <c r="A81" s="1398"/>
      <c r="B81" s="115" t="s">
        <v>3337</v>
      </c>
      <c r="C81" s="79">
        <v>6.4</v>
      </c>
      <c r="D81" s="80">
        <v>0</v>
      </c>
      <c r="E81" s="81">
        <v>6</v>
      </c>
      <c r="F81" s="80">
        <v>0</v>
      </c>
      <c r="G81" s="81">
        <v>5.6</v>
      </c>
      <c r="H81" s="80">
        <v>0</v>
      </c>
      <c r="I81" s="81">
        <v>5.2</v>
      </c>
      <c r="J81" s="80">
        <v>0</v>
      </c>
      <c r="K81" s="1374"/>
      <c r="L81" s="1374"/>
      <c r="M81" s="1366" t="s">
        <v>3337</v>
      </c>
    </row>
    <row r="82" spans="1:13" x14ac:dyDescent="0.2">
      <c r="A82" s="1398"/>
      <c r="B82" s="1368"/>
      <c r="C82" s="79">
        <v>6.5</v>
      </c>
      <c r="D82" s="80">
        <v>0</v>
      </c>
      <c r="E82" s="81">
        <v>6.1</v>
      </c>
      <c r="F82" s="80">
        <v>0</v>
      </c>
      <c r="G82" s="81">
        <v>5.7</v>
      </c>
      <c r="H82" s="80">
        <v>0</v>
      </c>
      <c r="I82" s="81">
        <v>5.3</v>
      </c>
      <c r="J82" s="80">
        <v>0</v>
      </c>
      <c r="K82" s="1374"/>
      <c r="L82" s="1374"/>
      <c r="M82" s="1366" t="s">
        <v>3337</v>
      </c>
    </row>
    <row r="83" spans="1:13" x14ac:dyDescent="0.2">
      <c r="A83" s="1398"/>
      <c r="B83" s="1371"/>
      <c r="C83" s="79">
        <v>6.6</v>
      </c>
      <c r="D83" s="80">
        <v>0</v>
      </c>
      <c r="E83" s="81">
        <v>6.2</v>
      </c>
      <c r="F83" s="80">
        <v>0</v>
      </c>
      <c r="G83" s="81">
        <v>5.8</v>
      </c>
      <c r="H83" s="80">
        <v>0</v>
      </c>
      <c r="I83" s="81">
        <v>5.4</v>
      </c>
      <c r="J83" s="80">
        <v>0</v>
      </c>
      <c r="K83" s="1374"/>
      <c r="L83" s="1374"/>
      <c r="M83" s="1366" t="s">
        <v>3337</v>
      </c>
    </row>
    <row r="84" spans="1:13" x14ac:dyDescent="0.2">
      <c r="A84" s="1398"/>
      <c r="B84" s="1384"/>
      <c r="C84" s="79">
        <v>6.7</v>
      </c>
      <c r="D84" s="80">
        <v>0</v>
      </c>
      <c r="E84" s="81"/>
      <c r="F84" s="80">
        <v>0</v>
      </c>
      <c r="G84" s="81">
        <v>5.9</v>
      </c>
      <c r="H84" s="80">
        <v>0</v>
      </c>
      <c r="I84" s="81">
        <v>5.5</v>
      </c>
      <c r="J84" s="80">
        <v>0</v>
      </c>
      <c r="K84" s="1374"/>
      <c r="L84" s="1374"/>
      <c r="M84" s="1366" t="s">
        <v>3337</v>
      </c>
    </row>
    <row r="85" spans="1:13" x14ac:dyDescent="0.2">
      <c r="A85" s="1398"/>
      <c r="B85" s="115" t="s">
        <v>3338</v>
      </c>
      <c r="C85" s="79" t="s">
        <v>3866</v>
      </c>
      <c r="D85" s="80">
        <v>0</v>
      </c>
      <c r="E85" s="81" t="s">
        <v>3867</v>
      </c>
      <c r="F85" s="80">
        <v>0</v>
      </c>
      <c r="G85" s="81" t="s">
        <v>3868</v>
      </c>
      <c r="H85" s="80">
        <v>0</v>
      </c>
      <c r="I85" s="81" t="s">
        <v>3869</v>
      </c>
      <c r="J85" s="80">
        <v>0</v>
      </c>
      <c r="K85" s="1374"/>
      <c r="L85" s="1374"/>
      <c r="M85" s="1366" t="s">
        <v>3338</v>
      </c>
    </row>
    <row r="86" spans="1:13" x14ac:dyDescent="0.2">
      <c r="A86" s="1398"/>
      <c r="B86" s="115" t="s">
        <v>3338</v>
      </c>
      <c r="C86" s="79">
        <v>6.8</v>
      </c>
      <c r="D86" s="80">
        <v>0</v>
      </c>
      <c r="E86" s="81">
        <v>6.5</v>
      </c>
      <c r="F86" s="80">
        <v>0</v>
      </c>
      <c r="G86" s="81">
        <v>6</v>
      </c>
      <c r="H86" s="80">
        <v>0</v>
      </c>
      <c r="I86" s="81">
        <v>5.6</v>
      </c>
      <c r="J86" s="80">
        <v>0</v>
      </c>
      <c r="K86" s="113">
        <v>1</v>
      </c>
      <c r="L86" s="1374"/>
      <c r="M86" s="1366" t="s">
        <v>3338</v>
      </c>
    </row>
    <row r="87" spans="1:13" x14ac:dyDescent="0.2">
      <c r="A87" s="1398"/>
      <c r="C87" s="112">
        <v>10</v>
      </c>
      <c r="D87" s="112">
        <v>0</v>
      </c>
      <c r="E87" s="112">
        <v>10</v>
      </c>
      <c r="F87" s="112">
        <v>0</v>
      </c>
      <c r="G87" s="112">
        <v>10</v>
      </c>
      <c r="H87" s="112">
        <v>0</v>
      </c>
      <c r="I87" s="112">
        <v>10</v>
      </c>
      <c r="J87" s="112">
        <v>0</v>
      </c>
      <c r="K87" s="112">
        <v>10</v>
      </c>
      <c r="L87" s="112">
        <v>0</v>
      </c>
      <c r="M87" s="1366" t="s">
        <v>3338</v>
      </c>
    </row>
    <row r="88" spans="1:13" x14ac:dyDescent="0.2">
      <c r="A88" s="1398"/>
      <c r="B88" s="114" t="s">
        <v>3861</v>
      </c>
      <c r="D88" s="112">
        <f>IF(AND($A55=$H$270,D$12=$H$271),VLOOKUP($I$272,C56:D87,2,TRUE),0)</f>
        <v>0</v>
      </c>
      <c r="F88" s="112">
        <f>IF(AND($A55=$H$270,F$12=$H$271),VLOOKUP($I$272,E56:F87,2,TRUE),0)</f>
        <v>0</v>
      </c>
      <c r="H88" s="112">
        <f>IF(AND($A55=$H$270,H$12=$H$271),VLOOKUP($I$272,G56:H87,2,TRUE),0)</f>
        <v>0</v>
      </c>
      <c r="J88" s="112">
        <f>IF(AND($A55=$H$270,J$12=$H$271),VLOOKUP($I$272,I56:J87,2,TRUE),0)</f>
        <v>0</v>
      </c>
      <c r="K88" s="112"/>
      <c r="L88" s="112">
        <f>IF(AND($A55=$H$270,L$12=$H$271),VLOOKUP($I$272,K56:L87,2,TRUE),0)</f>
        <v>0</v>
      </c>
      <c r="M88" s="1366">
        <f>MAX(D88:L88)</f>
        <v>0</v>
      </c>
    </row>
    <row r="89" spans="1:13" x14ac:dyDescent="0.2">
      <c r="A89" s="1398"/>
      <c r="B89" s="114" t="s">
        <v>3862</v>
      </c>
      <c r="C89" s="1395" t="str">
        <f>IF(AND($A55=$H$270,D$12=$H$271),VLOOKUP($I$272,C56:$M87,11,TRUE),"")</f>
        <v/>
      </c>
      <c r="D89" s="112"/>
      <c r="E89" s="1395" t="str">
        <f>IF(AND($A55=$H$270,F$12=$H$271),VLOOKUP($I$272,E56:$M87,9,TRUE),"")</f>
        <v/>
      </c>
      <c r="F89" s="112"/>
      <c r="G89" s="1395" t="str">
        <f>IF(AND($A55=$H$270,H$12=$H$271),VLOOKUP($I$272,G56:$M87,7,TRUE),"")</f>
        <v/>
      </c>
      <c r="H89" s="112"/>
      <c r="I89" s="1395" t="str">
        <f>IF(AND($A55=$H$270,J$12=$H$271),VLOOKUP($I$272,I56:$M87,5,TRUE),"")</f>
        <v/>
      </c>
      <c r="J89" s="112"/>
      <c r="K89" s="1395" t="str">
        <f>IF(AND($A55=$H$270,L$12=$H$271),VLOOKUP($I$272,K56:$M87,3,TRUE),"")</f>
        <v/>
      </c>
      <c r="L89" s="112"/>
      <c r="M89" s="1396" t="str">
        <f>C89&amp;E89&amp;G89&amp;I89&amp;K89</f>
        <v/>
      </c>
    </row>
    <row r="91" spans="1:13" x14ac:dyDescent="0.2">
      <c r="C91" s="1981" t="s">
        <v>21</v>
      </c>
      <c r="D91" s="1982"/>
      <c r="E91" s="1982"/>
      <c r="F91" s="1982"/>
      <c r="G91" s="1982"/>
      <c r="H91" s="1982"/>
      <c r="I91" s="1982"/>
      <c r="J91" s="1983"/>
    </row>
    <row r="92" spans="1:13" x14ac:dyDescent="0.2">
      <c r="C92" s="1981" t="s">
        <v>3844</v>
      </c>
      <c r="D92" s="1983"/>
      <c r="E92" s="1981" t="s">
        <v>3845</v>
      </c>
      <c r="F92" s="1983"/>
      <c r="G92" s="1981" t="s">
        <v>3319</v>
      </c>
      <c r="H92" s="1983"/>
      <c r="I92" s="1981" t="s">
        <v>3320</v>
      </c>
      <c r="J92" s="1983"/>
      <c r="K92" s="1981" t="s">
        <v>3846</v>
      </c>
      <c r="L92" s="1983"/>
    </row>
    <row r="94" spans="1:13" x14ac:dyDescent="0.2">
      <c r="B94" s="1368" t="s">
        <v>3326</v>
      </c>
      <c r="C94" s="1369" t="s">
        <v>3327</v>
      </c>
      <c r="D94" s="1370" t="s">
        <v>3847</v>
      </c>
      <c r="E94" s="1370" t="s">
        <v>3327</v>
      </c>
      <c r="F94" s="1370" t="s">
        <v>3847</v>
      </c>
      <c r="G94" s="1370" t="s">
        <v>3327</v>
      </c>
      <c r="H94" s="1370" t="s">
        <v>3847</v>
      </c>
      <c r="I94" s="1370" t="s">
        <v>3327</v>
      </c>
      <c r="J94" s="1370" t="s">
        <v>3847</v>
      </c>
      <c r="K94" s="1370" t="s">
        <v>3327</v>
      </c>
      <c r="L94" s="1370" t="s">
        <v>3847</v>
      </c>
    </row>
    <row r="95" spans="1:13" x14ac:dyDescent="0.2">
      <c r="B95" s="1371"/>
    </row>
    <row r="96" spans="1:13" x14ac:dyDescent="0.2">
      <c r="A96" s="1399">
        <f>B261</f>
        <v>3</v>
      </c>
      <c r="B96" s="1986" t="s">
        <v>3870</v>
      </c>
      <c r="C96" s="1987"/>
      <c r="D96" s="1987"/>
      <c r="E96" s="1987"/>
      <c r="F96" s="1987"/>
      <c r="G96" s="1987"/>
      <c r="H96" s="1987"/>
      <c r="I96" s="1987"/>
      <c r="J96" s="1987"/>
      <c r="K96" s="1987"/>
      <c r="L96" s="1987"/>
    </row>
    <row r="97" spans="1:13" x14ac:dyDescent="0.2">
      <c r="A97" s="1400"/>
      <c r="B97" s="1371"/>
      <c r="C97" s="112">
        <v>1</v>
      </c>
      <c r="D97" s="112">
        <v>87</v>
      </c>
      <c r="E97" s="112">
        <v>1</v>
      </c>
      <c r="F97" s="112">
        <v>89</v>
      </c>
      <c r="G97" s="112">
        <v>1</v>
      </c>
      <c r="H97" s="112">
        <v>90</v>
      </c>
      <c r="I97" s="112">
        <v>1</v>
      </c>
      <c r="J97" s="112">
        <v>33</v>
      </c>
      <c r="K97" s="112">
        <v>1</v>
      </c>
      <c r="L97" s="112">
        <v>0</v>
      </c>
      <c r="M97" s="1366" t="s">
        <v>3330</v>
      </c>
    </row>
    <row r="98" spans="1:13" x14ac:dyDescent="0.2">
      <c r="A98" s="1400"/>
      <c r="B98" s="115" t="s">
        <v>3330</v>
      </c>
      <c r="C98" s="79" t="s">
        <v>3871</v>
      </c>
      <c r="D98" s="80">
        <v>87</v>
      </c>
      <c r="E98" s="81" t="s">
        <v>3334</v>
      </c>
      <c r="F98" s="80">
        <v>89</v>
      </c>
      <c r="G98" s="81" t="s">
        <v>3332</v>
      </c>
      <c r="H98" s="80">
        <v>90</v>
      </c>
      <c r="I98" s="81" t="s">
        <v>3864</v>
      </c>
      <c r="J98" s="80">
        <v>33</v>
      </c>
      <c r="K98" s="1374"/>
      <c r="L98" s="1374"/>
      <c r="M98" s="1366" t="s">
        <v>3330</v>
      </c>
    </row>
    <row r="99" spans="1:13" x14ac:dyDescent="0.2">
      <c r="A99" s="1400"/>
      <c r="B99" s="1371"/>
      <c r="C99" s="79">
        <v>4.5999999999999996</v>
      </c>
      <c r="D99" s="80">
        <v>82</v>
      </c>
      <c r="E99" s="81">
        <v>4.3</v>
      </c>
      <c r="F99" s="80">
        <v>83</v>
      </c>
      <c r="G99" s="81">
        <v>3.9</v>
      </c>
      <c r="H99" s="80">
        <v>84</v>
      </c>
      <c r="I99" s="81">
        <v>3.4</v>
      </c>
      <c r="J99" s="80">
        <v>31</v>
      </c>
      <c r="K99" s="1374"/>
      <c r="L99" s="1374"/>
      <c r="M99" s="1366" t="s">
        <v>3330</v>
      </c>
    </row>
    <row r="100" spans="1:13" x14ac:dyDescent="0.2">
      <c r="A100" s="1400"/>
      <c r="B100" s="1371"/>
      <c r="C100" s="79">
        <v>4.7</v>
      </c>
      <c r="D100" s="80">
        <v>77</v>
      </c>
      <c r="E100" s="81">
        <v>4.4000000000000004</v>
      </c>
      <c r="F100" s="80">
        <v>77</v>
      </c>
      <c r="G100" s="81">
        <v>4</v>
      </c>
      <c r="H100" s="80">
        <v>78</v>
      </c>
      <c r="I100" s="81">
        <v>3.5</v>
      </c>
      <c r="J100" s="80">
        <v>29</v>
      </c>
      <c r="K100" s="1374"/>
      <c r="L100" s="1374"/>
      <c r="M100" s="1366" t="s">
        <v>3330</v>
      </c>
    </row>
    <row r="101" spans="1:13" x14ac:dyDescent="0.2">
      <c r="A101" s="1400"/>
      <c r="B101" s="1371"/>
      <c r="C101" s="79">
        <v>4.8</v>
      </c>
      <c r="D101" s="80">
        <v>73</v>
      </c>
      <c r="E101" s="81">
        <v>4.5</v>
      </c>
      <c r="F101" s="80">
        <v>71</v>
      </c>
      <c r="G101" s="81">
        <v>4.0999999999999996</v>
      </c>
      <c r="H101" s="80">
        <v>72</v>
      </c>
      <c r="I101" s="81">
        <v>3.6</v>
      </c>
      <c r="J101" s="80">
        <v>27</v>
      </c>
      <c r="K101" s="1374"/>
      <c r="L101" s="1374"/>
      <c r="M101" s="1366" t="s">
        <v>3330</v>
      </c>
    </row>
    <row r="102" spans="1:13" x14ac:dyDescent="0.2">
      <c r="A102" s="1400"/>
      <c r="B102" s="1371"/>
      <c r="C102" s="79">
        <v>4.9000000000000004</v>
      </c>
      <c r="D102" s="80">
        <v>68</v>
      </c>
      <c r="E102" s="81">
        <v>4.5999999999999996</v>
      </c>
      <c r="F102" s="80">
        <v>66</v>
      </c>
      <c r="G102" s="81">
        <v>4.2</v>
      </c>
      <c r="H102" s="80">
        <v>66</v>
      </c>
      <c r="I102" s="81">
        <v>3.7</v>
      </c>
      <c r="J102" s="80">
        <v>25</v>
      </c>
      <c r="K102" s="1374"/>
      <c r="L102" s="1374"/>
      <c r="M102" s="1366" t="s">
        <v>3330</v>
      </c>
    </row>
    <row r="103" spans="1:13" x14ac:dyDescent="0.2">
      <c r="A103" s="1400"/>
      <c r="B103" s="1371"/>
      <c r="C103" s="79">
        <v>5</v>
      </c>
      <c r="D103" s="80">
        <v>63</v>
      </c>
      <c r="E103" s="81">
        <v>4.7</v>
      </c>
      <c r="F103" s="80">
        <v>60</v>
      </c>
      <c r="G103" s="81">
        <v>4.3</v>
      </c>
      <c r="H103" s="80">
        <v>60</v>
      </c>
      <c r="I103" s="81">
        <v>3.8</v>
      </c>
      <c r="J103" s="80">
        <v>23</v>
      </c>
      <c r="K103" s="1374"/>
      <c r="L103" s="1374"/>
      <c r="M103" s="1366" t="s">
        <v>3330</v>
      </c>
    </row>
    <row r="104" spans="1:13" x14ac:dyDescent="0.2">
      <c r="A104" s="1400"/>
      <c r="B104" s="115" t="s">
        <v>3335</v>
      </c>
      <c r="C104" s="79">
        <v>5.0999999999999996</v>
      </c>
      <c r="D104" s="80">
        <v>58</v>
      </c>
      <c r="E104" s="81">
        <v>4.8</v>
      </c>
      <c r="F104" s="80">
        <v>54</v>
      </c>
      <c r="G104" s="81">
        <v>4.4000000000000004</v>
      </c>
      <c r="H104" s="80">
        <v>54</v>
      </c>
      <c r="I104" s="81">
        <v>3.9</v>
      </c>
      <c r="J104" s="80">
        <v>21</v>
      </c>
      <c r="K104" s="1374"/>
      <c r="L104" s="1374"/>
      <c r="M104" s="1366" t="s">
        <v>3335</v>
      </c>
    </row>
    <row r="105" spans="1:13" x14ac:dyDescent="0.2">
      <c r="A105" s="1400"/>
      <c r="B105" s="1371"/>
      <c r="C105" s="79">
        <v>5.2</v>
      </c>
      <c r="D105" s="80">
        <v>53</v>
      </c>
      <c r="E105" s="81">
        <v>4.9000000000000004</v>
      </c>
      <c r="F105" s="80">
        <v>48</v>
      </c>
      <c r="G105" s="81">
        <v>4.5</v>
      </c>
      <c r="H105" s="80">
        <v>48</v>
      </c>
      <c r="I105" s="81">
        <v>4</v>
      </c>
      <c r="J105" s="80">
        <v>19</v>
      </c>
      <c r="K105" s="1374"/>
      <c r="L105" s="1374"/>
      <c r="M105" s="1366" t="s">
        <v>3335</v>
      </c>
    </row>
    <row r="106" spans="1:13" x14ac:dyDescent="0.2">
      <c r="A106" s="1400"/>
      <c r="B106" s="1371"/>
      <c r="C106" s="79">
        <v>5.3</v>
      </c>
      <c r="D106" s="80">
        <v>49</v>
      </c>
      <c r="E106" s="81">
        <v>5</v>
      </c>
      <c r="F106" s="80">
        <v>42</v>
      </c>
      <c r="G106" s="81">
        <v>4.5999999999999996</v>
      </c>
      <c r="H106" s="80">
        <v>42</v>
      </c>
      <c r="I106" s="81">
        <v>4.0999999999999996</v>
      </c>
      <c r="J106" s="80">
        <v>17</v>
      </c>
      <c r="K106" s="1374"/>
      <c r="L106" s="1374"/>
      <c r="M106" s="1366" t="s">
        <v>3335</v>
      </c>
    </row>
    <row r="107" spans="1:13" x14ac:dyDescent="0.2">
      <c r="A107" s="1400"/>
      <c r="B107" s="1371"/>
      <c r="C107" s="79">
        <v>5.4</v>
      </c>
      <c r="D107" s="80">
        <v>44</v>
      </c>
      <c r="E107" s="81">
        <v>5.0999999999999996</v>
      </c>
      <c r="F107" s="80">
        <v>36</v>
      </c>
      <c r="G107" s="81">
        <v>4.7</v>
      </c>
      <c r="H107" s="80">
        <v>35</v>
      </c>
      <c r="I107" s="81">
        <v>4.2</v>
      </c>
      <c r="J107" s="80">
        <v>15</v>
      </c>
      <c r="K107" s="1374"/>
      <c r="L107" s="1374"/>
      <c r="M107" s="1366" t="s">
        <v>3335</v>
      </c>
    </row>
    <row r="108" spans="1:13" x14ac:dyDescent="0.2">
      <c r="A108" s="1400"/>
      <c r="B108" s="1371"/>
      <c r="C108" s="79">
        <v>5.5</v>
      </c>
      <c r="D108" s="80">
        <v>39</v>
      </c>
      <c r="E108" s="81">
        <v>5.2</v>
      </c>
      <c r="F108" s="80">
        <v>31</v>
      </c>
      <c r="G108" s="81">
        <v>4.8</v>
      </c>
      <c r="H108" s="80">
        <v>29</v>
      </c>
      <c r="I108" s="81">
        <v>4.3</v>
      </c>
      <c r="J108" s="80">
        <v>14</v>
      </c>
      <c r="K108" s="1374"/>
      <c r="L108" s="1374"/>
      <c r="M108" s="1366" t="s">
        <v>3335</v>
      </c>
    </row>
    <row r="109" spans="1:13" x14ac:dyDescent="0.2">
      <c r="A109" s="1400"/>
      <c r="B109" s="1371"/>
      <c r="C109" s="79">
        <v>5.6</v>
      </c>
      <c r="D109" s="80">
        <v>34</v>
      </c>
      <c r="E109" s="81">
        <v>5.3</v>
      </c>
      <c r="F109" s="80">
        <v>25</v>
      </c>
      <c r="G109" s="81">
        <v>4.9000000000000004</v>
      </c>
      <c r="H109" s="80">
        <v>23</v>
      </c>
      <c r="I109" s="81">
        <v>4.4000000000000004</v>
      </c>
      <c r="J109" s="80">
        <v>12</v>
      </c>
      <c r="K109" s="1374"/>
      <c r="L109" s="1374"/>
      <c r="M109" s="1366" t="s">
        <v>3335</v>
      </c>
    </row>
    <row r="110" spans="1:13" x14ac:dyDescent="0.2">
      <c r="A110" s="1400"/>
      <c r="B110" s="1371"/>
      <c r="C110" s="79">
        <v>5.7</v>
      </c>
      <c r="D110" s="80">
        <v>29</v>
      </c>
      <c r="E110" s="81">
        <v>5.4</v>
      </c>
      <c r="F110" s="80">
        <v>19</v>
      </c>
      <c r="G110" s="81">
        <v>5</v>
      </c>
      <c r="H110" s="80">
        <v>17</v>
      </c>
      <c r="I110" s="81">
        <v>4.5</v>
      </c>
      <c r="J110" s="80">
        <v>10</v>
      </c>
      <c r="K110" s="1374"/>
      <c r="L110" s="1374"/>
      <c r="M110" s="1366" t="s">
        <v>3335</v>
      </c>
    </row>
    <row r="111" spans="1:13" x14ac:dyDescent="0.2">
      <c r="A111" s="1400"/>
      <c r="B111" s="1371"/>
      <c r="C111" s="79">
        <v>5.8</v>
      </c>
      <c r="D111" s="80">
        <v>25</v>
      </c>
      <c r="E111" s="81">
        <v>5.5</v>
      </c>
      <c r="F111" s="80">
        <v>13</v>
      </c>
      <c r="G111" s="81">
        <v>5.0999999999999996</v>
      </c>
      <c r="H111" s="80">
        <v>11</v>
      </c>
      <c r="I111" s="81">
        <v>4.5999999999999996</v>
      </c>
      <c r="J111" s="80">
        <v>8</v>
      </c>
      <c r="K111" s="1374"/>
      <c r="L111" s="1374"/>
      <c r="M111" s="1366" t="s">
        <v>3335</v>
      </c>
    </row>
    <row r="112" spans="1:13" x14ac:dyDescent="0.2">
      <c r="A112" s="1400"/>
      <c r="B112" s="1371"/>
      <c r="C112" s="79">
        <v>5.9</v>
      </c>
      <c r="D112" s="80">
        <v>20</v>
      </c>
      <c r="E112" s="81"/>
      <c r="F112" s="80"/>
      <c r="G112" s="81"/>
      <c r="H112" s="80"/>
      <c r="I112" s="81">
        <v>4.7</v>
      </c>
      <c r="J112" s="80">
        <v>6</v>
      </c>
      <c r="K112" s="1374"/>
      <c r="L112" s="1374"/>
      <c r="M112" s="1366" t="s">
        <v>3335</v>
      </c>
    </row>
    <row r="113" spans="1:13" x14ac:dyDescent="0.2">
      <c r="A113" s="1400"/>
      <c r="B113" s="1371"/>
      <c r="C113" s="79">
        <v>6</v>
      </c>
      <c r="D113" s="80">
        <v>15</v>
      </c>
      <c r="E113" s="81"/>
      <c r="F113" s="80"/>
      <c r="G113" s="81"/>
      <c r="H113" s="80"/>
      <c r="I113" s="81"/>
      <c r="J113" s="80"/>
      <c r="K113" s="1374"/>
      <c r="L113" s="1374"/>
      <c r="M113" s="1366" t="s">
        <v>3335</v>
      </c>
    </row>
    <row r="114" spans="1:13" x14ac:dyDescent="0.2">
      <c r="A114" s="1400"/>
      <c r="B114" s="115" t="s">
        <v>3336</v>
      </c>
      <c r="C114" s="79">
        <v>6.1</v>
      </c>
      <c r="D114" s="80">
        <v>14</v>
      </c>
      <c r="E114" s="81">
        <v>5.6</v>
      </c>
      <c r="F114" s="80">
        <v>12</v>
      </c>
      <c r="G114" s="81">
        <v>5.2</v>
      </c>
      <c r="H114" s="80">
        <v>10</v>
      </c>
      <c r="I114" s="81">
        <v>4.8</v>
      </c>
      <c r="J114" s="80">
        <v>5</v>
      </c>
      <c r="K114" s="1374"/>
      <c r="L114" s="1374"/>
      <c r="M114" s="1366" t="s">
        <v>3336</v>
      </c>
    </row>
    <row r="115" spans="1:13" x14ac:dyDescent="0.2">
      <c r="A115" s="1400"/>
      <c r="B115" s="1371"/>
      <c r="C115" s="79">
        <v>6.2</v>
      </c>
      <c r="D115" s="80">
        <v>14</v>
      </c>
      <c r="E115" s="81">
        <v>5.7</v>
      </c>
      <c r="F115" s="80">
        <v>12</v>
      </c>
      <c r="G115" s="81">
        <v>5.5</v>
      </c>
      <c r="H115" s="80">
        <v>10</v>
      </c>
      <c r="I115" s="81">
        <v>4.9000000000000004</v>
      </c>
      <c r="J115" s="80">
        <v>5</v>
      </c>
      <c r="K115" s="1374"/>
      <c r="L115" s="1374"/>
      <c r="M115" s="1366" t="s">
        <v>3336</v>
      </c>
    </row>
    <row r="116" spans="1:13" x14ac:dyDescent="0.2">
      <c r="A116" s="1400"/>
      <c r="B116" s="1371"/>
      <c r="C116" s="79">
        <v>6.3</v>
      </c>
      <c r="D116" s="80">
        <v>14</v>
      </c>
      <c r="E116" s="81">
        <v>5.8</v>
      </c>
      <c r="F116" s="80">
        <v>12</v>
      </c>
      <c r="G116" s="81">
        <v>5.6</v>
      </c>
      <c r="H116" s="80">
        <v>10</v>
      </c>
      <c r="I116" s="81">
        <v>5</v>
      </c>
      <c r="J116" s="80">
        <v>5</v>
      </c>
      <c r="K116" s="1374"/>
      <c r="L116" s="1374"/>
      <c r="M116" s="1366" t="s">
        <v>3336</v>
      </c>
    </row>
    <row r="117" spans="1:13" x14ac:dyDescent="0.2">
      <c r="A117" s="1400"/>
      <c r="B117" s="1371"/>
      <c r="C117" s="79">
        <v>6.4</v>
      </c>
      <c r="D117" s="80">
        <v>14</v>
      </c>
      <c r="E117" s="81">
        <v>5.9</v>
      </c>
      <c r="F117" s="80">
        <v>12</v>
      </c>
      <c r="G117" s="81">
        <v>5.7</v>
      </c>
      <c r="H117" s="80">
        <v>10</v>
      </c>
      <c r="I117" s="81">
        <v>5.0999999999999996</v>
      </c>
      <c r="J117" s="80">
        <v>5</v>
      </c>
      <c r="K117" s="1374"/>
      <c r="L117" s="1374"/>
      <c r="M117" s="1366" t="s">
        <v>3336</v>
      </c>
    </row>
    <row r="118" spans="1:13" x14ac:dyDescent="0.2">
      <c r="A118" s="1400"/>
      <c r="B118" s="1371"/>
      <c r="C118" s="79">
        <v>6.5</v>
      </c>
      <c r="D118" s="80">
        <v>14</v>
      </c>
      <c r="E118" s="81">
        <v>6</v>
      </c>
      <c r="F118" s="80">
        <v>12</v>
      </c>
      <c r="G118" s="81">
        <v>5.8</v>
      </c>
      <c r="H118" s="80">
        <v>10</v>
      </c>
      <c r="I118" s="81">
        <v>5.2</v>
      </c>
      <c r="J118" s="80">
        <v>5</v>
      </c>
      <c r="K118" s="1374"/>
      <c r="L118" s="1374"/>
      <c r="M118" s="1366" t="s">
        <v>3336</v>
      </c>
    </row>
    <row r="119" spans="1:13" x14ac:dyDescent="0.2">
      <c r="A119" s="1400"/>
      <c r="B119" s="1371"/>
      <c r="C119" s="79">
        <v>6.6</v>
      </c>
      <c r="D119" s="80">
        <v>14</v>
      </c>
      <c r="E119" s="81">
        <v>6.1</v>
      </c>
      <c r="F119" s="80">
        <v>0</v>
      </c>
      <c r="G119" s="81"/>
      <c r="H119" s="80"/>
      <c r="I119" s="81">
        <v>5.3</v>
      </c>
      <c r="J119" s="80">
        <v>5</v>
      </c>
      <c r="K119" s="1374"/>
      <c r="L119" s="1374"/>
      <c r="M119" s="1366" t="s">
        <v>3336</v>
      </c>
    </row>
    <row r="120" spans="1:13" x14ac:dyDescent="0.2">
      <c r="A120" s="1400"/>
      <c r="B120" s="1371"/>
      <c r="C120" s="79">
        <v>6.7</v>
      </c>
      <c r="D120" s="80">
        <v>14</v>
      </c>
      <c r="E120" s="81">
        <v>6.2</v>
      </c>
      <c r="F120" s="80">
        <v>0</v>
      </c>
      <c r="G120" s="81"/>
      <c r="H120" s="80"/>
      <c r="I120" s="81">
        <v>5.4</v>
      </c>
      <c r="J120" s="80">
        <v>5</v>
      </c>
      <c r="K120" s="1374"/>
      <c r="L120" s="1374"/>
      <c r="M120" s="1366" t="s">
        <v>3336</v>
      </c>
    </row>
    <row r="121" spans="1:13" x14ac:dyDescent="0.2">
      <c r="A121" s="1400"/>
      <c r="B121" s="115" t="s">
        <v>3337</v>
      </c>
      <c r="C121" s="79">
        <v>6.8</v>
      </c>
      <c r="D121" s="80">
        <v>0</v>
      </c>
      <c r="E121" s="81">
        <v>6.3</v>
      </c>
      <c r="F121" s="80">
        <v>0</v>
      </c>
      <c r="G121" s="81">
        <v>5.9</v>
      </c>
      <c r="H121" s="80">
        <v>0</v>
      </c>
      <c r="I121" s="81">
        <v>5.5</v>
      </c>
      <c r="J121" s="80">
        <v>0</v>
      </c>
      <c r="K121" s="1374"/>
      <c r="L121" s="1374"/>
      <c r="M121" s="1366" t="s">
        <v>3337</v>
      </c>
    </row>
    <row r="122" spans="1:13" x14ac:dyDescent="0.2">
      <c r="A122" s="1400"/>
      <c r="B122" s="1368"/>
      <c r="C122" s="79">
        <v>6.9</v>
      </c>
      <c r="D122" s="80">
        <v>0</v>
      </c>
      <c r="E122" s="81">
        <v>6.4</v>
      </c>
      <c r="F122" s="80">
        <v>0</v>
      </c>
      <c r="G122" s="81">
        <v>6</v>
      </c>
      <c r="H122" s="80">
        <v>0</v>
      </c>
      <c r="I122" s="81">
        <v>5.6</v>
      </c>
      <c r="J122" s="80">
        <v>0</v>
      </c>
      <c r="K122" s="1374"/>
      <c r="L122" s="1374"/>
      <c r="M122" s="1366" t="s">
        <v>3337</v>
      </c>
    </row>
    <row r="123" spans="1:13" x14ac:dyDescent="0.2">
      <c r="A123" s="1400"/>
      <c r="B123" s="1371"/>
      <c r="C123" s="79">
        <v>7</v>
      </c>
      <c r="D123" s="80">
        <v>0</v>
      </c>
      <c r="E123" s="81">
        <v>6.5</v>
      </c>
      <c r="F123" s="80">
        <v>0</v>
      </c>
      <c r="G123" s="81">
        <v>6.1</v>
      </c>
      <c r="H123" s="80">
        <v>0</v>
      </c>
      <c r="I123" s="81">
        <v>5.7</v>
      </c>
      <c r="J123" s="80">
        <v>0</v>
      </c>
      <c r="K123" s="1374"/>
      <c r="L123" s="1374"/>
      <c r="M123" s="1366" t="s">
        <v>3337</v>
      </c>
    </row>
    <row r="124" spans="1:13" x14ac:dyDescent="0.2">
      <c r="A124" s="1400"/>
      <c r="B124" s="1371"/>
      <c r="C124" s="79"/>
      <c r="D124" s="80"/>
      <c r="E124" s="81">
        <v>6.6</v>
      </c>
      <c r="F124" s="80">
        <v>0</v>
      </c>
      <c r="G124" s="81">
        <v>6.2</v>
      </c>
      <c r="H124" s="80">
        <v>0</v>
      </c>
      <c r="I124" s="81">
        <v>5.8</v>
      </c>
      <c r="J124" s="80">
        <v>0</v>
      </c>
      <c r="K124" s="1374"/>
      <c r="L124" s="1374"/>
      <c r="M124" s="1366" t="s">
        <v>3337</v>
      </c>
    </row>
    <row r="125" spans="1:13" x14ac:dyDescent="0.2">
      <c r="A125" s="1400"/>
      <c r="B125" s="1371"/>
      <c r="C125" s="79">
        <v>7.1</v>
      </c>
      <c r="D125" s="80">
        <v>0</v>
      </c>
      <c r="E125" s="81">
        <v>6.7</v>
      </c>
      <c r="F125" s="80">
        <v>0</v>
      </c>
      <c r="G125" s="81"/>
      <c r="H125" s="80"/>
      <c r="I125" s="81"/>
      <c r="J125" s="80"/>
      <c r="K125" s="1374"/>
      <c r="L125" s="1374"/>
      <c r="M125" s="1366" t="s">
        <v>3337</v>
      </c>
    </row>
    <row r="126" spans="1:13" x14ac:dyDescent="0.2">
      <c r="A126" s="1400"/>
      <c r="B126" s="115" t="s">
        <v>3338</v>
      </c>
      <c r="C126" s="79" t="s">
        <v>3872</v>
      </c>
      <c r="D126" s="80">
        <v>0</v>
      </c>
      <c r="E126" s="81" t="s">
        <v>3873</v>
      </c>
      <c r="F126" s="80">
        <v>0</v>
      </c>
      <c r="G126" s="81" t="s">
        <v>3857</v>
      </c>
      <c r="H126" s="80">
        <v>0</v>
      </c>
      <c r="I126" s="81" t="s">
        <v>3874</v>
      </c>
      <c r="J126" s="80">
        <v>0</v>
      </c>
      <c r="K126" s="1374"/>
      <c r="L126" s="1374"/>
      <c r="M126" s="1366" t="s">
        <v>3338</v>
      </c>
    </row>
    <row r="127" spans="1:13" x14ac:dyDescent="0.2">
      <c r="A127" s="1400"/>
      <c r="B127" s="115" t="s">
        <v>3338</v>
      </c>
      <c r="C127" s="79">
        <v>7.2</v>
      </c>
      <c r="D127" s="80">
        <v>0</v>
      </c>
      <c r="E127" s="81">
        <v>6.8</v>
      </c>
      <c r="F127" s="80">
        <v>0</v>
      </c>
      <c r="G127" s="81">
        <v>6.3</v>
      </c>
      <c r="H127" s="80">
        <v>0</v>
      </c>
      <c r="I127" s="81">
        <v>5.9</v>
      </c>
      <c r="J127" s="80">
        <v>0</v>
      </c>
      <c r="K127" s="113">
        <v>1</v>
      </c>
      <c r="L127" s="1374"/>
      <c r="M127" s="1366" t="s">
        <v>3338</v>
      </c>
    </row>
    <row r="128" spans="1:13" x14ac:dyDescent="0.2">
      <c r="A128" s="1400"/>
      <c r="C128" s="112">
        <v>10</v>
      </c>
      <c r="D128" s="112">
        <v>0</v>
      </c>
      <c r="E128" s="112">
        <v>10</v>
      </c>
      <c r="F128" s="112">
        <v>0</v>
      </c>
      <c r="G128" s="112">
        <v>10</v>
      </c>
      <c r="H128" s="112">
        <v>0</v>
      </c>
      <c r="I128" s="112">
        <v>10</v>
      </c>
      <c r="J128" s="112">
        <v>0</v>
      </c>
      <c r="K128" s="112">
        <v>10</v>
      </c>
      <c r="L128" s="112">
        <v>0</v>
      </c>
      <c r="M128" s="1366" t="s">
        <v>3338</v>
      </c>
    </row>
    <row r="129" spans="1:13" x14ac:dyDescent="0.2">
      <c r="A129" s="1400"/>
      <c r="B129" s="114" t="s">
        <v>3861</v>
      </c>
      <c r="D129" s="1374">
        <f>IF(AND($A96=$H$270,D$12=$H$271),VLOOKUP($I$272,C97:D128,2,TRUE),0)</f>
        <v>0</v>
      </c>
      <c r="F129" s="1374">
        <f>IF(AND($A96=$H$270,F$12=$H$271),VLOOKUP($I$272,E97:F128,2,TRUE),0)</f>
        <v>0</v>
      </c>
      <c r="H129" s="1374">
        <f>IF(AND($A96=$H$270,H$12=$H$271),VLOOKUP($I$272,G97:H128,2,TRUE),0)</f>
        <v>0</v>
      </c>
      <c r="J129" s="1374">
        <f>IF(AND($A96=$H$270,J$12=$H$271),VLOOKUP($I$272,I97:J128,2,TRUE),0)</f>
        <v>0</v>
      </c>
      <c r="K129" s="112"/>
      <c r="L129" s="1374">
        <f>IF(AND($A96=$H$270,L$12=$H$271),VLOOKUP($I$272,K97:L128,2,TRUE),0)</f>
        <v>0</v>
      </c>
      <c r="M129" s="1374">
        <f>MAX(D129:L129)</f>
        <v>0</v>
      </c>
    </row>
    <row r="130" spans="1:13" x14ac:dyDescent="0.2">
      <c r="B130" s="114" t="s">
        <v>3862</v>
      </c>
      <c r="C130" s="1395" t="str">
        <f>IF(AND($A96=$H$270,D$12=$H$271),VLOOKUP($I$272,C97:$M128,11,TRUE),"")</f>
        <v/>
      </c>
      <c r="E130" s="1395" t="str">
        <f>IF(AND($A96=$H$270,F$12=$H$271),VLOOKUP($I$272,E97:$M128,9,TRUE),"")</f>
        <v/>
      </c>
      <c r="G130" s="1395" t="str">
        <f>IF(AND($A96=$H$270,H$12=$H$271),VLOOKUP($I$272,G97:$M128,7,TRUE),"")</f>
        <v/>
      </c>
      <c r="I130" s="1395" t="str">
        <f>IF(AND($A96=$H$270,J$12=$H$271),VLOOKUP($I$272,I97:$M128,5,TRUE),"")</f>
        <v/>
      </c>
      <c r="K130" s="1395" t="str">
        <f>IF(AND($A96=$H$270,L$12=$H$271),VLOOKUP($I$272,K97:$M128,3,TRUE),"")</f>
        <v/>
      </c>
      <c r="M130" s="1396" t="str">
        <f>C130&amp;E130&amp;G130&amp;I130&amp;K130</f>
        <v/>
      </c>
    </row>
    <row r="131" spans="1:13" x14ac:dyDescent="0.2">
      <c r="B131" s="114"/>
    </row>
    <row r="132" spans="1:13" x14ac:dyDescent="0.2">
      <c r="C132" s="1981" t="s">
        <v>21</v>
      </c>
      <c r="D132" s="1982"/>
      <c r="E132" s="1982"/>
      <c r="F132" s="1982"/>
      <c r="G132" s="1982"/>
      <c r="H132" s="1982"/>
      <c r="I132" s="1982"/>
      <c r="J132" s="1983"/>
    </row>
    <row r="133" spans="1:13" x14ac:dyDescent="0.2">
      <c r="C133" s="1981" t="s">
        <v>3844</v>
      </c>
      <c r="D133" s="1983"/>
      <c r="E133" s="1981" t="s">
        <v>3845</v>
      </c>
      <c r="F133" s="1983"/>
      <c r="G133" s="1981" t="s">
        <v>3319</v>
      </c>
      <c r="H133" s="1983"/>
      <c r="I133" s="1981" t="s">
        <v>3320</v>
      </c>
      <c r="J133" s="1983"/>
      <c r="K133" s="1981" t="s">
        <v>3846</v>
      </c>
      <c r="L133" s="1983"/>
    </row>
    <row r="135" spans="1:13" x14ac:dyDescent="0.2">
      <c r="B135" s="1368" t="s">
        <v>3326</v>
      </c>
      <c r="C135" s="1369" t="s">
        <v>3327</v>
      </c>
      <c r="D135" s="1370" t="s">
        <v>3847</v>
      </c>
      <c r="E135" s="1370" t="s">
        <v>3327</v>
      </c>
      <c r="F135" s="1370" t="s">
        <v>3847</v>
      </c>
      <c r="G135" s="1370" t="s">
        <v>3327</v>
      </c>
      <c r="H135" s="1370" t="s">
        <v>3847</v>
      </c>
      <c r="I135" s="1370" t="s">
        <v>3327</v>
      </c>
      <c r="J135" s="1370" t="s">
        <v>3847</v>
      </c>
      <c r="K135" s="1370" t="s">
        <v>3327</v>
      </c>
      <c r="L135" s="1370" t="s">
        <v>3847</v>
      </c>
    </row>
    <row r="136" spans="1:13" x14ac:dyDescent="0.2">
      <c r="B136" s="1371"/>
    </row>
    <row r="137" spans="1:13" x14ac:dyDescent="0.2">
      <c r="A137" s="1401">
        <f>B262</f>
        <v>4</v>
      </c>
      <c r="B137" s="1988" t="s">
        <v>3875</v>
      </c>
      <c r="C137" s="1989"/>
      <c r="D137" s="1989"/>
      <c r="E137" s="1989"/>
      <c r="F137" s="1989"/>
      <c r="G137" s="1989"/>
      <c r="H137" s="1989"/>
      <c r="I137" s="1989"/>
      <c r="J137" s="1989"/>
      <c r="K137" s="1989"/>
      <c r="L137" s="1989"/>
    </row>
    <row r="138" spans="1:13" x14ac:dyDescent="0.2">
      <c r="A138" s="1402"/>
      <c r="B138" s="1371"/>
      <c r="C138" s="112">
        <v>1</v>
      </c>
      <c r="D138" s="112">
        <v>117</v>
      </c>
      <c r="E138" s="112">
        <v>1</v>
      </c>
      <c r="F138" s="112">
        <v>115</v>
      </c>
      <c r="G138" s="112">
        <v>1</v>
      </c>
      <c r="H138" s="112">
        <v>109</v>
      </c>
      <c r="I138" s="112">
        <v>1</v>
      </c>
      <c r="J138" s="112">
        <v>39</v>
      </c>
      <c r="K138" s="112">
        <v>1</v>
      </c>
      <c r="L138" s="112">
        <v>0</v>
      </c>
      <c r="M138" s="1366" t="s">
        <v>3330</v>
      </c>
    </row>
    <row r="139" spans="1:13" x14ac:dyDescent="0.2">
      <c r="A139" s="1402"/>
      <c r="B139" s="115" t="s">
        <v>3330</v>
      </c>
      <c r="C139" s="79" t="s">
        <v>3871</v>
      </c>
      <c r="D139" s="80">
        <v>117</v>
      </c>
      <c r="E139" s="81" t="s">
        <v>3334</v>
      </c>
      <c r="F139" s="80">
        <v>115</v>
      </c>
      <c r="G139" s="81" t="s">
        <v>3332</v>
      </c>
      <c r="H139" s="80">
        <v>109</v>
      </c>
      <c r="I139" s="81" t="s">
        <v>3864</v>
      </c>
      <c r="J139" s="80">
        <v>39</v>
      </c>
      <c r="K139" s="1374"/>
      <c r="L139" s="1374"/>
      <c r="M139" s="1366" t="s">
        <v>3330</v>
      </c>
    </row>
    <row r="140" spans="1:13" x14ac:dyDescent="0.2">
      <c r="A140" s="1402"/>
      <c r="B140" s="1371"/>
      <c r="C140" s="79">
        <v>4.5999999999999996</v>
      </c>
      <c r="D140" s="80">
        <v>111</v>
      </c>
      <c r="E140" s="81">
        <v>4.3</v>
      </c>
      <c r="F140" s="80">
        <v>108</v>
      </c>
      <c r="G140" s="81">
        <v>3.9</v>
      </c>
      <c r="H140" s="80">
        <v>103</v>
      </c>
      <c r="I140" s="81">
        <v>3.4</v>
      </c>
      <c r="J140" s="80">
        <v>37</v>
      </c>
      <c r="K140" s="1374"/>
      <c r="L140" s="1374"/>
      <c r="M140" s="1366" t="s">
        <v>3330</v>
      </c>
    </row>
    <row r="141" spans="1:13" x14ac:dyDescent="0.2">
      <c r="A141" s="1402"/>
      <c r="B141" s="1371"/>
      <c r="C141" s="79">
        <v>4.7</v>
      </c>
      <c r="D141" s="80">
        <v>105</v>
      </c>
      <c r="E141" s="81">
        <v>4.4000000000000004</v>
      </c>
      <c r="F141" s="80">
        <v>102</v>
      </c>
      <c r="G141" s="81">
        <v>4</v>
      </c>
      <c r="H141" s="80">
        <v>97</v>
      </c>
      <c r="I141" s="81">
        <v>3.5</v>
      </c>
      <c r="J141" s="80">
        <v>35</v>
      </c>
      <c r="K141" s="1374"/>
      <c r="L141" s="1374"/>
      <c r="M141" s="1366" t="s">
        <v>3330</v>
      </c>
    </row>
    <row r="142" spans="1:13" x14ac:dyDescent="0.2">
      <c r="A142" s="1402"/>
      <c r="B142" s="1371"/>
      <c r="C142" s="79">
        <v>4.8</v>
      </c>
      <c r="D142" s="80">
        <v>100</v>
      </c>
      <c r="E142" s="81">
        <v>4.5</v>
      </c>
      <c r="F142" s="80">
        <v>95</v>
      </c>
      <c r="G142" s="81">
        <v>4.0999999999999996</v>
      </c>
      <c r="H142" s="80">
        <v>90</v>
      </c>
      <c r="I142" s="81">
        <v>3.6</v>
      </c>
      <c r="J142" s="80">
        <v>33</v>
      </c>
      <c r="K142" s="1374"/>
      <c r="L142" s="1374"/>
      <c r="M142" s="1366" t="s">
        <v>3330</v>
      </c>
    </row>
    <row r="143" spans="1:13" x14ac:dyDescent="0.2">
      <c r="A143" s="1402"/>
      <c r="B143" s="1371"/>
      <c r="C143" s="79">
        <v>4.9000000000000004</v>
      </c>
      <c r="D143" s="80">
        <v>94</v>
      </c>
      <c r="E143" s="81">
        <v>4.5999999999999996</v>
      </c>
      <c r="F143" s="80">
        <v>89</v>
      </c>
      <c r="G143" s="81">
        <v>4.2</v>
      </c>
      <c r="H143" s="80">
        <v>84</v>
      </c>
      <c r="I143" s="81">
        <v>3.7</v>
      </c>
      <c r="J143" s="80">
        <v>31</v>
      </c>
      <c r="K143" s="1374"/>
      <c r="L143" s="1374"/>
      <c r="M143" s="1366" t="s">
        <v>3330</v>
      </c>
    </row>
    <row r="144" spans="1:13" x14ac:dyDescent="0.2">
      <c r="A144" s="1402"/>
      <c r="B144" s="1371"/>
      <c r="C144" s="79">
        <v>5</v>
      </c>
      <c r="D144" s="80">
        <v>88</v>
      </c>
      <c r="E144" s="81">
        <v>4.7</v>
      </c>
      <c r="F144" s="80">
        <v>82</v>
      </c>
      <c r="G144" s="81">
        <v>4.3</v>
      </c>
      <c r="H144" s="80">
        <v>78</v>
      </c>
      <c r="I144" s="81">
        <v>3.8</v>
      </c>
      <c r="J144" s="80">
        <v>29</v>
      </c>
      <c r="K144" s="1374"/>
      <c r="L144" s="1374"/>
      <c r="M144" s="1366" t="s">
        <v>3330</v>
      </c>
    </row>
    <row r="145" spans="1:13" x14ac:dyDescent="0.2">
      <c r="A145" s="1402"/>
      <c r="B145" s="1371"/>
      <c r="C145" s="79">
        <v>5.0999999999999996</v>
      </c>
      <c r="D145" s="80">
        <v>82</v>
      </c>
      <c r="E145" s="81">
        <v>4.8</v>
      </c>
      <c r="F145" s="80">
        <v>75</v>
      </c>
      <c r="G145" s="81">
        <v>4.4000000000000004</v>
      </c>
      <c r="H145" s="80">
        <v>71</v>
      </c>
      <c r="I145" s="81">
        <v>3.9</v>
      </c>
      <c r="J145" s="80">
        <v>27</v>
      </c>
      <c r="K145" s="1374"/>
      <c r="L145" s="1374"/>
      <c r="M145" s="1366" t="s">
        <v>3330</v>
      </c>
    </row>
    <row r="146" spans="1:13" x14ac:dyDescent="0.2">
      <c r="A146" s="1402"/>
      <c r="B146" s="1371"/>
      <c r="C146" s="79">
        <v>5.2</v>
      </c>
      <c r="D146" s="80">
        <v>76</v>
      </c>
      <c r="E146" s="81">
        <v>4.9000000000000004</v>
      </c>
      <c r="F146" s="80">
        <v>69</v>
      </c>
      <c r="G146" s="81">
        <v>4.5</v>
      </c>
      <c r="H146" s="80">
        <v>65</v>
      </c>
      <c r="I146" s="81">
        <v>4</v>
      </c>
      <c r="J146" s="80">
        <v>25</v>
      </c>
      <c r="K146" s="1374"/>
      <c r="L146" s="1374"/>
      <c r="M146" s="1366" t="s">
        <v>3330</v>
      </c>
    </row>
    <row r="147" spans="1:13" x14ac:dyDescent="0.2">
      <c r="A147" s="1402"/>
      <c r="B147" s="115" t="s">
        <v>3335</v>
      </c>
      <c r="C147" s="79">
        <v>5.3</v>
      </c>
      <c r="D147" s="80">
        <v>70</v>
      </c>
      <c r="E147" s="81">
        <v>5</v>
      </c>
      <c r="F147" s="80">
        <v>62</v>
      </c>
      <c r="G147" s="81">
        <v>4.5999999999999996</v>
      </c>
      <c r="H147" s="80">
        <v>59</v>
      </c>
      <c r="I147" s="81">
        <v>4.0999999999999996</v>
      </c>
      <c r="J147" s="80">
        <v>23</v>
      </c>
      <c r="K147" s="1374"/>
      <c r="L147" s="1374"/>
      <c r="M147" s="1366" t="s">
        <v>3335</v>
      </c>
    </row>
    <row r="148" spans="1:13" x14ac:dyDescent="0.2">
      <c r="A148" s="1402"/>
      <c r="B148" s="1371"/>
      <c r="C148" s="79">
        <v>5.4</v>
      </c>
      <c r="D148" s="80">
        <v>65</v>
      </c>
      <c r="E148" s="81">
        <v>5.0999999999999996</v>
      </c>
      <c r="F148" s="80">
        <v>55</v>
      </c>
      <c r="G148" s="81">
        <v>4.7</v>
      </c>
      <c r="H148" s="80">
        <v>52</v>
      </c>
      <c r="I148" s="81">
        <v>4.2</v>
      </c>
      <c r="J148" s="80">
        <v>21</v>
      </c>
      <c r="K148" s="1374"/>
      <c r="L148" s="1374"/>
      <c r="M148" s="1366" t="s">
        <v>3335</v>
      </c>
    </row>
    <row r="149" spans="1:13" x14ac:dyDescent="0.2">
      <c r="A149" s="1402"/>
      <c r="B149" s="1371"/>
      <c r="C149" s="79">
        <v>5.5</v>
      </c>
      <c r="D149" s="80">
        <v>59</v>
      </c>
      <c r="E149" s="81">
        <v>5.2</v>
      </c>
      <c r="F149" s="80">
        <v>49</v>
      </c>
      <c r="G149" s="81">
        <v>4.8</v>
      </c>
      <c r="H149" s="80">
        <v>46</v>
      </c>
      <c r="I149" s="81">
        <v>4.3</v>
      </c>
      <c r="J149" s="80">
        <v>19</v>
      </c>
      <c r="K149" s="1374"/>
      <c r="L149" s="1374"/>
      <c r="M149" s="1366" t="s">
        <v>3335</v>
      </c>
    </row>
    <row r="150" spans="1:13" x14ac:dyDescent="0.2">
      <c r="A150" s="1402"/>
      <c r="B150" s="1371"/>
      <c r="C150" s="79">
        <v>5.6</v>
      </c>
      <c r="D150" s="80">
        <v>53</v>
      </c>
      <c r="E150" s="81">
        <v>5.3</v>
      </c>
      <c r="F150" s="80">
        <v>42</v>
      </c>
      <c r="G150" s="81">
        <v>4.9000000000000004</v>
      </c>
      <c r="H150" s="80">
        <v>40</v>
      </c>
      <c r="I150" s="81">
        <v>4.4000000000000004</v>
      </c>
      <c r="J150" s="80">
        <v>17</v>
      </c>
      <c r="K150" s="1374"/>
      <c r="L150" s="1374"/>
      <c r="M150" s="1366" t="s">
        <v>3335</v>
      </c>
    </row>
    <row r="151" spans="1:13" x14ac:dyDescent="0.2">
      <c r="A151" s="1402"/>
      <c r="B151" s="1371"/>
      <c r="C151" s="79">
        <v>5.7</v>
      </c>
      <c r="D151" s="80">
        <v>47</v>
      </c>
      <c r="E151" s="81">
        <v>5.4</v>
      </c>
      <c r="F151" s="80">
        <v>36</v>
      </c>
      <c r="G151" s="81">
        <v>5</v>
      </c>
      <c r="H151" s="80">
        <v>33</v>
      </c>
      <c r="I151" s="81">
        <v>4.5</v>
      </c>
      <c r="J151" s="80">
        <v>15</v>
      </c>
      <c r="K151" s="1374"/>
      <c r="L151" s="1374"/>
      <c r="M151" s="1366" t="s">
        <v>3335</v>
      </c>
    </row>
    <row r="152" spans="1:13" x14ac:dyDescent="0.2">
      <c r="A152" s="1402"/>
      <c r="B152" s="1371"/>
      <c r="C152" s="79">
        <v>5.8</v>
      </c>
      <c r="D152" s="80">
        <v>41</v>
      </c>
      <c r="E152" s="81">
        <v>5.5</v>
      </c>
      <c r="F152" s="80">
        <v>29</v>
      </c>
      <c r="G152" s="81">
        <v>5.0999999999999996</v>
      </c>
      <c r="H152" s="80">
        <v>27</v>
      </c>
      <c r="I152" s="81">
        <v>4.5999999999999996</v>
      </c>
      <c r="J152" s="80">
        <v>13</v>
      </c>
      <c r="K152" s="1374"/>
      <c r="L152" s="1374"/>
      <c r="M152" s="1366" t="s">
        <v>3335</v>
      </c>
    </row>
    <row r="153" spans="1:13" x14ac:dyDescent="0.2">
      <c r="A153" s="1402"/>
      <c r="B153" s="1371"/>
      <c r="C153" s="79">
        <v>5.9</v>
      </c>
      <c r="D153" s="80">
        <v>36</v>
      </c>
      <c r="E153" s="81">
        <v>5.6</v>
      </c>
      <c r="F153" s="80">
        <v>22</v>
      </c>
      <c r="G153" s="81">
        <v>5.2</v>
      </c>
      <c r="H153" s="80">
        <v>21</v>
      </c>
      <c r="I153" s="81">
        <v>4.7</v>
      </c>
      <c r="J153" s="80">
        <v>11</v>
      </c>
      <c r="K153" s="1374"/>
      <c r="L153" s="1374"/>
      <c r="M153" s="1366" t="s">
        <v>3335</v>
      </c>
    </row>
    <row r="154" spans="1:13" x14ac:dyDescent="0.2">
      <c r="A154" s="1402"/>
      <c r="B154" s="1371"/>
      <c r="C154" s="79">
        <v>6</v>
      </c>
      <c r="D154" s="80">
        <v>30</v>
      </c>
      <c r="E154" s="81">
        <v>5.7</v>
      </c>
      <c r="F154" s="80">
        <v>16</v>
      </c>
      <c r="G154" s="81">
        <v>5.3</v>
      </c>
      <c r="H154" s="80">
        <v>14</v>
      </c>
      <c r="I154" s="81">
        <v>4.8</v>
      </c>
      <c r="J154" s="80">
        <v>9</v>
      </c>
      <c r="K154" s="1374"/>
      <c r="L154" s="1374"/>
      <c r="M154" s="1366" t="s">
        <v>3335</v>
      </c>
    </row>
    <row r="155" spans="1:13" x14ac:dyDescent="0.2">
      <c r="A155" s="1402"/>
      <c r="B155" s="1371"/>
      <c r="C155" s="79">
        <v>6.1</v>
      </c>
      <c r="D155" s="80">
        <v>24</v>
      </c>
      <c r="E155" s="81"/>
      <c r="F155" s="80"/>
      <c r="G155" s="81"/>
      <c r="H155" s="80"/>
      <c r="I155" s="81">
        <v>4.9000000000000004</v>
      </c>
      <c r="J155" s="80">
        <v>7</v>
      </c>
      <c r="K155" s="1374"/>
      <c r="L155" s="1374"/>
      <c r="M155" s="1366" t="s">
        <v>3335</v>
      </c>
    </row>
    <row r="156" spans="1:13" x14ac:dyDescent="0.2">
      <c r="A156" s="1402"/>
      <c r="B156" s="1371"/>
      <c r="C156" s="79">
        <v>6.2</v>
      </c>
      <c r="D156" s="80">
        <v>18</v>
      </c>
      <c r="E156" s="81"/>
      <c r="F156" s="80"/>
      <c r="G156" s="81"/>
      <c r="H156" s="80"/>
      <c r="I156" s="81"/>
      <c r="J156" s="80"/>
      <c r="K156" s="1374"/>
      <c r="L156" s="1374"/>
      <c r="M156" s="1366" t="s">
        <v>3335</v>
      </c>
    </row>
    <row r="157" spans="1:13" x14ac:dyDescent="0.2">
      <c r="A157" s="1402"/>
      <c r="B157" s="115" t="s">
        <v>3336</v>
      </c>
      <c r="C157" s="79">
        <v>6.3</v>
      </c>
      <c r="D157" s="80">
        <v>17</v>
      </c>
      <c r="E157" s="81">
        <v>5.8</v>
      </c>
      <c r="F157" s="80">
        <v>15</v>
      </c>
      <c r="G157" s="81">
        <v>5.4</v>
      </c>
      <c r="H157" s="80">
        <v>13</v>
      </c>
      <c r="I157" s="81">
        <v>5</v>
      </c>
      <c r="J157" s="80">
        <v>6</v>
      </c>
      <c r="K157" s="1374"/>
      <c r="L157" s="1374"/>
      <c r="M157" s="1366" t="s">
        <v>3336</v>
      </c>
    </row>
    <row r="158" spans="1:13" x14ac:dyDescent="0.2">
      <c r="A158" s="1402"/>
      <c r="B158" s="1371"/>
      <c r="C158" s="79">
        <v>6.4</v>
      </c>
      <c r="D158" s="80">
        <v>17</v>
      </c>
      <c r="E158" s="81">
        <v>5.9</v>
      </c>
      <c r="F158" s="80">
        <v>15</v>
      </c>
      <c r="G158" s="81">
        <v>5.5</v>
      </c>
      <c r="H158" s="80">
        <v>13</v>
      </c>
      <c r="I158" s="81">
        <v>5.0999999999999996</v>
      </c>
      <c r="J158" s="80">
        <v>6</v>
      </c>
      <c r="K158" s="1374"/>
      <c r="L158" s="1374"/>
      <c r="M158" s="1366" t="s">
        <v>3336</v>
      </c>
    </row>
    <row r="159" spans="1:13" x14ac:dyDescent="0.2">
      <c r="A159" s="1402"/>
      <c r="B159" s="1371"/>
      <c r="C159" s="79">
        <v>6.5</v>
      </c>
      <c r="D159" s="80">
        <v>17</v>
      </c>
      <c r="E159" s="81">
        <v>6</v>
      </c>
      <c r="F159" s="80">
        <v>15</v>
      </c>
      <c r="G159" s="81">
        <v>5.6</v>
      </c>
      <c r="H159" s="80">
        <v>13</v>
      </c>
      <c r="I159" s="81">
        <v>5.2</v>
      </c>
      <c r="J159" s="80">
        <v>6</v>
      </c>
      <c r="K159" s="1374"/>
      <c r="L159" s="1374"/>
      <c r="M159" s="1366" t="s">
        <v>3336</v>
      </c>
    </row>
    <row r="160" spans="1:13" x14ac:dyDescent="0.2">
      <c r="A160" s="1402"/>
      <c r="B160" s="1371"/>
      <c r="C160" s="79">
        <v>6.6</v>
      </c>
      <c r="D160" s="80">
        <v>17</v>
      </c>
      <c r="E160" s="81">
        <v>6.1</v>
      </c>
      <c r="F160" s="80">
        <v>15</v>
      </c>
      <c r="G160" s="81">
        <v>5.7</v>
      </c>
      <c r="H160" s="80">
        <v>13</v>
      </c>
      <c r="I160" s="81">
        <v>5.3</v>
      </c>
      <c r="J160" s="80">
        <v>6</v>
      </c>
      <c r="K160" s="1374"/>
      <c r="L160" s="1374"/>
      <c r="M160" s="1366" t="s">
        <v>3336</v>
      </c>
    </row>
    <row r="161" spans="1:13" x14ac:dyDescent="0.2">
      <c r="A161" s="1402"/>
      <c r="B161" s="1371"/>
      <c r="C161" s="79">
        <v>6.7</v>
      </c>
      <c r="D161" s="80">
        <v>17</v>
      </c>
      <c r="E161" s="81">
        <v>6.2</v>
      </c>
      <c r="F161" s="80">
        <v>15</v>
      </c>
      <c r="G161" s="81">
        <v>5.8</v>
      </c>
      <c r="H161" s="80">
        <v>13</v>
      </c>
      <c r="I161" s="81">
        <v>5.4</v>
      </c>
      <c r="J161" s="80">
        <v>6</v>
      </c>
      <c r="K161" s="1374"/>
      <c r="L161" s="1374"/>
      <c r="M161" s="1366" t="s">
        <v>3336</v>
      </c>
    </row>
    <row r="162" spans="1:13" x14ac:dyDescent="0.2">
      <c r="A162" s="1402"/>
      <c r="B162" s="1371"/>
      <c r="C162" s="79">
        <v>6.8</v>
      </c>
      <c r="D162" s="80">
        <v>17</v>
      </c>
      <c r="E162" s="81">
        <v>6.3</v>
      </c>
      <c r="F162" s="80">
        <v>15</v>
      </c>
      <c r="G162" s="81">
        <v>5.9</v>
      </c>
      <c r="H162" s="80">
        <v>13</v>
      </c>
      <c r="I162" s="81">
        <v>5.5</v>
      </c>
      <c r="J162" s="80">
        <v>6</v>
      </c>
      <c r="K162" s="1374"/>
      <c r="L162" s="1374"/>
      <c r="M162" s="1366" t="s">
        <v>3336</v>
      </c>
    </row>
    <row r="163" spans="1:13" x14ac:dyDescent="0.2">
      <c r="A163" s="1402"/>
      <c r="B163" s="1371"/>
      <c r="C163" s="79">
        <v>6.9</v>
      </c>
      <c r="D163" s="80">
        <v>17</v>
      </c>
      <c r="E163" s="81">
        <v>6.4</v>
      </c>
      <c r="F163" s="80">
        <v>15</v>
      </c>
      <c r="G163" s="81">
        <v>6</v>
      </c>
      <c r="H163" s="80">
        <v>13</v>
      </c>
      <c r="I163" s="81">
        <v>5.6</v>
      </c>
      <c r="J163" s="80">
        <v>6</v>
      </c>
      <c r="K163" s="1374"/>
      <c r="L163" s="1374"/>
      <c r="M163" s="1366" t="s">
        <v>3336</v>
      </c>
    </row>
    <row r="164" spans="1:13" x14ac:dyDescent="0.2">
      <c r="A164" s="1402"/>
      <c r="B164" s="1371"/>
      <c r="C164" s="79">
        <v>7</v>
      </c>
      <c r="D164" s="80">
        <v>17</v>
      </c>
      <c r="E164" s="81">
        <v>6.5</v>
      </c>
      <c r="F164" s="80">
        <v>15</v>
      </c>
      <c r="G164" s="81">
        <v>6.1</v>
      </c>
      <c r="H164" s="80">
        <v>13</v>
      </c>
      <c r="I164" s="81">
        <v>5.7</v>
      </c>
      <c r="J164" s="80">
        <v>6</v>
      </c>
      <c r="K164" s="1374"/>
      <c r="L164" s="1374"/>
      <c r="M164" s="1366" t="s">
        <v>3336</v>
      </c>
    </row>
    <row r="165" spans="1:13" x14ac:dyDescent="0.2">
      <c r="A165" s="1402"/>
      <c r="B165" s="115" t="s">
        <v>3337</v>
      </c>
      <c r="C165" s="79">
        <v>7.1</v>
      </c>
      <c r="D165" s="80">
        <v>0</v>
      </c>
      <c r="E165" s="81">
        <v>6.6</v>
      </c>
      <c r="F165" s="80">
        <v>0</v>
      </c>
      <c r="G165" s="81">
        <v>6.2</v>
      </c>
      <c r="H165" s="80">
        <v>0</v>
      </c>
      <c r="I165" s="81">
        <v>5.8</v>
      </c>
      <c r="J165" s="80">
        <v>0</v>
      </c>
      <c r="K165" s="1374"/>
      <c r="L165" s="1374"/>
      <c r="M165" s="1366" t="s">
        <v>3337</v>
      </c>
    </row>
    <row r="166" spans="1:13" x14ac:dyDescent="0.2">
      <c r="A166" s="1402"/>
      <c r="B166" s="1371"/>
      <c r="C166" s="79">
        <v>7.2</v>
      </c>
      <c r="D166" s="80">
        <v>0</v>
      </c>
      <c r="E166" s="81">
        <v>6.7</v>
      </c>
      <c r="F166" s="80">
        <v>0</v>
      </c>
      <c r="G166" s="81">
        <v>6.3</v>
      </c>
      <c r="H166" s="80">
        <v>0</v>
      </c>
      <c r="I166" s="81">
        <v>5.9</v>
      </c>
      <c r="J166" s="80">
        <v>0</v>
      </c>
      <c r="K166" s="1374"/>
      <c r="L166" s="1374"/>
      <c r="M166" s="1366" t="s">
        <v>3337</v>
      </c>
    </row>
    <row r="167" spans="1:13" x14ac:dyDescent="0.2">
      <c r="A167" s="1402"/>
      <c r="B167" s="1371"/>
      <c r="C167" s="79">
        <v>7.3</v>
      </c>
      <c r="D167" s="80">
        <v>0</v>
      </c>
      <c r="E167" s="81">
        <v>6.7</v>
      </c>
      <c r="F167" s="80">
        <v>0</v>
      </c>
      <c r="G167" s="81">
        <v>6.4</v>
      </c>
      <c r="H167" s="80">
        <v>0</v>
      </c>
      <c r="I167" s="81">
        <v>6</v>
      </c>
      <c r="J167" s="80">
        <v>0</v>
      </c>
      <c r="K167" s="1374"/>
      <c r="L167" s="1374"/>
      <c r="M167" s="1366" t="s">
        <v>3337</v>
      </c>
    </row>
    <row r="168" spans="1:13" x14ac:dyDescent="0.2">
      <c r="A168" s="1402"/>
      <c r="B168" s="1371"/>
      <c r="C168" s="79">
        <v>7.4</v>
      </c>
      <c r="D168" s="80">
        <v>0</v>
      </c>
      <c r="E168" s="81">
        <v>6.9</v>
      </c>
      <c r="F168" s="80">
        <v>0</v>
      </c>
      <c r="G168" s="81">
        <v>6.5</v>
      </c>
      <c r="H168" s="80">
        <v>0</v>
      </c>
      <c r="I168" s="81">
        <v>6.1</v>
      </c>
      <c r="J168" s="80">
        <v>0</v>
      </c>
      <c r="K168" s="1374"/>
      <c r="L168" s="1374"/>
      <c r="M168" s="1366" t="s">
        <v>3337</v>
      </c>
    </row>
    <row r="169" spans="1:13" x14ac:dyDescent="0.2">
      <c r="A169" s="1402"/>
      <c r="B169" s="1371"/>
      <c r="C169" s="79"/>
      <c r="D169" s="80"/>
      <c r="E169" s="81">
        <v>7</v>
      </c>
      <c r="F169" s="80">
        <v>0</v>
      </c>
      <c r="G169" s="81"/>
      <c r="H169" s="80"/>
      <c r="I169" s="81"/>
      <c r="J169" s="80"/>
      <c r="K169" s="1374"/>
      <c r="L169" s="1374"/>
      <c r="M169" s="1366" t="s">
        <v>3337</v>
      </c>
    </row>
    <row r="170" spans="1:13" x14ac:dyDescent="0.2">
      <c r="A170" s="1402"/>
      <c r="B170" s="115" t="s">
        <v>3338</v>
      </c>
      <c r="C170" s="79" t="s">
        <v>3876</v>
      </c>
      <c r="D170" s="80">
        <v>0</v>
      </c>
      <c r="E170" s="81" t="s">
        <v>3877</v>
      </c>
      <c r="F170" s="80">
        <v>0</v>
      </c>
      <c r="G170" s="81" t="s">
        <v>3878</v>
      </c>
      <c r="H170" s="80">
        <v>0</v>
      </c>
      <c r="I170" s="81" t="s">
        <v>3879</v>
      </c>
      <c r="J170" s="80"/>
      <c r="K170" s="1374"/>
      <c r="L170" s="1374"/>
      <c r="M170" s="1366" t="s">
        <v>3338</v>
      </c>
    </row>
    <row r="171" spans="1:13" x14ac:dyDescent="0.2">
      <c r="A171" s="1402"/>
      <c r="B171" s="115" t="s">
        <v>3338</v>
      </c>
      <c r="C171" s="79">
        <v>7.5</v>
      </c>
      <c r="D171" s="80">
        <v>0</v>
      </c>
      <c r="E171" s="81">
        <v>7.1</v>
      </c>
      <c r="F171" s="80">
        <v>0</v>
      </c>
      <c r="G171" s="81">
        <v>6.6</v>
      </c>
      <c r="H171" s="80">
        <v>0</v>
      </c>
      <c r="I171" s="81">
        <v>6.2</v>
      </c>
      <c r="J171" s="80">
        <v>0</v>
      </c>
      <c r="K171" s="113">
        <v>1</v>
      </c>
      <c r="L171" s="1374"/>
      <c r="M171" s="1366" t="s">
        <v>3338</v>
      </c>
    </row>
    <row r="172" spans="1:13" x14ac:dyDescent="0.2">
      <c r="A172" s="1402"/>
      <c r="C172" s="112">
        <v>10</v>
      </c>
      <c r="D172" s="112">
        <v>0</v>
      </c>
      <c r="E172" s="112">
        <v>10</v>
      </c>
      <c r="F172" s="112">
        <v>0</v>
      </c>
      <c r="G172" s="112">
        <v>10</v>
      </c>
      <c r="H172" s="112">
        <v>0</v>
      </c>
      <c r="I172" s="112">
        <v>10</v>
      </c>
      <c r="J172" s="112">
        <v>0</v>
      </c>
      <c r="K172" s="112">
        <v>10</v>
      </c>
      <c r="L172" s="112">
        <v>0</v>
      </c>
      <c r="M172" s="1366" t="s">
        <v>3338</v>
      </c>
    </row>
    <row r="173" spans="1:13" x14ac:dyDescent="0.2">
      <c r="A173" s="1402"/>
      <c r="B173" s="114" t="s">
        <v>3861</v>
      </c>
      <c r="D173" s="1374">
        <f>IF(AND($A137=$H$270,D$12=$H$271),VLOOKUP($I$272,C138:D172,2,TRUE),0)</f>
        <v>30</v>
      </c>
      <c r="F173" s="1374">
        <f>IF(AND($A137=$H$270,F$12=$H$271),VLOOKUP($I$272,E138:F172,2,TRUE),0)</f>
        <v>0</v>
      </c>
      <c r="H173" s="1374">
        <f>IF(AND($A137=$H$270,H$12=$H$271),VLOOKUP($I$272,G138:H172,2,TRUE),0)</f>
        <v>0</v>
      </c>
      <c r="J173" s="1374">
        <f>IF(AND($A137=$H$270,J$12=$H$271),VLOOKUP($I$272,I138:J172,2,TRUE),0)</f>
        <v>0</v>
      </c>
      <c r="K173" s="112"/>
      <c r="L173" s="1374">
        <f>IF(AND($A137=$H$270,L$12=$H$271),VLOOKUP($I$272,K138:L172,2,TRUE),0)</f>
        <v>0</v>
      </c>
      <c r="M173" s="1374">
        <f>MAX(D173:L173)</f>
        <v>30</v>
      </c>
    </row>
    <row r="174" spans="1:13" x14ac:dyDescent="0.2">
      <c r="B174" s="114" t="s">
        <v>3862</v>
      </c>
      <c r="C174" s="1395" t="str">
        <f>IF(AND($A137=$H$270,D$12=$H$271),VLOOKUP($I$272,C138:$M172,11,TRUE),"")</f>
        <v>B</v>
      </c>
      <c r="E174" s="1395" t="str">
        <f>IF(AND($A137=$H$270,F$12=$H$271),VLOOKUP($I$272,E138:$M172,9,TRUE),"")</f>
        <v/>
      </c>
      <c r="G174" s="1395" t="str">
        <f>IF(AND($A137=$H$270,H$12=$H$271),VLOOKUP($I$272,G138:$M172,7,TRUE),"")</f>
        <v/>
      </c>
      <c r="I174" s="1395" t="str">
        <f>IF(AND($A137=$H$270,J$12=$H$271),VLOOKUP($I$272,I138:$M172,5,TRUE),"")</f>
        <v/>
      </c>
      <c r="K174" s="1395" t="str">
        <f>IF(AND($A137=$H$270,L$12=$H$271),VLOOKUP($I$272,K138:$M172,3,TRUE),"")</f>
        <v/>
      </c>
      <c r="M174" s="1396" t="str">
        <f>C174&amp;E174&amp;G174&amp;I174&amp;K174</f>
        <v>B</v>
      </c>
    </row>
    <row r="176" spans="1:13" x14ac:dyDescent="0.2">
      <c r="C176" s="1981" t="s">
        <v>21</v>
      </c>
      <c r="D176" s="1982"/>
      <c r="E176" s="1982"/>
      <c r="F176" s="1982"/>
      <c r="G176" s="1982"/>
      <c r="H176" s="1982"/>
      <c r="I176" s="1982"/>
      <c r="J176" s="1983"/>
    </row>
    <row r="177" spans="1:13" x14ac:dyDescent="0.2">
      <c r="C177" s="1981" t="s">
        <v>3844</v>
      </c>
      <c r="D177" s="1983"/>
      <c r="E177" s="1981" t="s">
        <v>3845</v>
      </c>
      <c r="F177" s="1983"/>
      <c r="G177" s="1981" t="s">
        <v>3319</v>
      </c>
      <c r="H177" s="1983"/>
      <c r="I177" s="1981" t="s">
        <v>3320</v>
      </c>
      <c r="J177" s="1983"/>
      <c r="K177" s="1981" t="s">
        <v>3846</v>
      </c>
      <c r="L177" s="1983"/>
    </row>
    <row r="179" spans="1:13" x14ac:dyDescent="0.2">
      <c r="B179" s="1368" t="s">
        <v>3326</v>
      </c>
      <c r="C179" s="1369" t="s">
        <v>3327</v>
      </c>
      <c r="D179" s="1370" t="s">
        <v>3847</v>
      </c>
      <c r="E179" s="1370" t="s">
        <v>3327</v>
      </c>
      <c r="F179" s="1370" t="s">
        <v>3847</v>
      </c>
      <c r="G179" s="1370" t="s">
        <v>3327</v>
      </c>
      <c r="H179" s="1370" t="s">
        <v>3847</v>
      </c>
      <c r="I179" s="1370" t="s">
        <v>3327</v>
      </c>
      <c r="J179" s="1370" t="s">
        <v>3847</v>
      </c>
      <c r="K179" s="1370" t="s">
        <v>3327</v>
      </c>
      <c r="L179" s="1370" t="s">
        <v>3847</v>
      </c>
    </row>
    <row r="180" spans="1:13" x14ac:dyDescent="0.2">
      <c r="B180" s="1371"/>
    </row>
    <row r="181" spans="1:13" x14ac:dyDescent="0.2">
      <c r="A181" s="1403">
        <f>B263</f>
        <v>5</v>
      </c>
      <c r="B181" s="1371"/>
      <c r="C181" s="1999" t="s">
        <v>3880</v>
      </c>
      <c r="D181" s="2000"/>
      <c r="E181" s="2000"/>
      <c r="F181" s="2000"/>
      <c r="G181" s="2000"/>
      <c r="H181" s="2000"/>
      <c r="I181" s="2000"/>
      <c r="J181" s="2000"/>
      <c r="K181" s="2000"/>
      <c r="L181" s="2000"/>
    </row>
    <row r="182" spans="1:13" x14ac:dyDescent="0.2">
      <c r="A182" s="1404"/>
      <c r="B182" s="1371"/>
      <c r="C182" s="112">
        <v>1</v>
      </c>
      <c r="D182" s="112">
        <v>160</v>
      </c>
      <c r="E182" s="112">
        <v>1</v>
      </c>
      <c r="F182" s="112">
        <v>137</v>
      </c>
      <c r="G182" s="112">
        <v>1</v>
      </c>
      <c r="H182" s="112">
        <v>121</v>
      </c>
      <c r="I182" s="112">
        <v>1</v>
      </c>
      <c r="J182" s="112">
        <v>44</v>
      </c>
      <c r="K182" s="112">
        <v>1</v>
      </c>
      <c r="L182" s="112">
        <v>0</v>
      </c>
      <c r="M182" s="1366" t="s">
        <v>3330</v>
      </c>
    </row>
    <row r="183" spans="1:13" x14ac:dyDescent="0.2">
      <c r="A183" s="1404"/>
      <c r="B183" s="115" t="s">
        <v>3330</v>
      </c>
      <c r="C183" s="79" t="s">
        <v>3871</v>
      </c>
      <c r="D183" s="80">
        <v>160</v>
      </c>
      <c r="E183" s="81" t="s">
        <v>3334</v>
      </c>
      <c r="F183" s="80">
        <v>137</v>
      </c>
      <c r="G183" s="81" t="s">
        <v>3332</v>
      </c>
      <c r="H183" s="80">
        <v>121</v>
      </c>
      <c r="I183" s="81" t="s">
        <v>3864</v>
      </c>
      <c r="J183" s="80">
        <v>44</v>
      </c>
      <c r="K183" s="1374"/>
      <c r="L183" s="1374"/>
      <c r="M183" s="1366" t="s">
        <v>3330</v>
      </c>
    </row>
    <row r="184" spans="1:13" x14ac:dyDescent="0.2">
      <c r="A184" s="1404"/>
      <c r="B184" s="1371"/>
      <c r="C184" s="79">
        <v>4.5999999999999996</v>
      </c>
      <c r="D184" s="80">
        <v>152</v>
      </c>
      <c r="E184" s="81">
        <v>4.3</v>
      </c>
      <c r="F184" s="80">
        <v>130</v>
      </c>
      <c r="G184" s="81">
        <v>3.9</v>
      </c>
      <c r="H184" s="80">
        <v>115</v>
      </c>
      <c r="I184" s="81">
        <v>3.4</v>
      </c>
      <c r="J184" s="80">
        <v>41</v>
      </c>
      <c r="K184" s="1374"/>
      <c r="L184" s="1374"/>
      <c r="M184" s="1366" t="s">
        <v>3330</v>
      </c>
    </row>
    <row r="185" spans="1:13" x14ac:dyDescent="0.2">
      <c r="A185" s="1404"/>
      <c r="B185" s="1371"/>
      <c r="C185" s="79">
        <v>4.7</v>
      </c>
      <c r="D185" s="80">
        <v>144</v>
      </c>
      <c r="E185" s="81">
        <v>4.4000000000000004</v>
      </c>
      <c r="F185" s="80">
        <v>123</v>
      </c>
      <c r="G185" s="81">
        <v>4</v>
      </c>
      <c r="H185" s="80">
        <v>108</v>
      </c>
      <c r="I185" s="81">
        <v>3.5</v>
      </c>
      <c r="J185" s="80">
        <v>39</v>
      </c>
      <c r="K185" s="1374"/>
      <c r="L185" s="1374"/>
      <c r="M185" s="1366" t="s">
        <v>3330</v>
      </c>
    </row>
    <row r="186" spans="1:13" x14ac:dyDescent="0.2">
      <c r="A186" s="1404"/>
      <c r="B186" s="1371"/>
      <c r="C186" s="79">
        <v>4.8</v>
      </c>
      <c r="D186" s="80">
        <v>136</v>
      </c>
      <c r="E186" s="81">
        <v>4.5</v>
      </c>
      <c r="F186" s="80">
        <v>115</v>
      </c>
      <c r="G186" s="81">
        <v>4.0999999999999996</v>
      </c>
      <c r="H186" s="80">
        <v>102</v>
      </c>
      <c r="I186" s="81">
        <v>3.6</v>
      </c>
      <c r="J186" s="80">
        <v>37</v>
      </c>
      <c r="K186" s="1374"/>
      <c r="L186" s="1374"/>
      <c r="M186" s="1366" t="s">
        <v>3330</v>
      </c>
    </row>
    <row r="187" spans="1:13" x14ac:dyDescent="0.2">
      <c r="A187" s="1404"/>
      <c r="B187" s="1371"/>
      <c r="C187" s="79">
        <v>4.9000000000000004</v>
      </c>
      <c r="D187" s="80">
        <v>128</v>
      </c>
      <c r="E187" s="81">
        <v>4.5999999999999996</v>
      </c>
      <c r="F187" s="80">
        <v>108</v>
      </c>
      <c r="G187" s="81">
        <v>4.2</v>
      </c>
      <c r="H187" s="80">
        <v>95</v>
      </c>
      <c r="I187" s="81">
        <v>3.7</v>
      </c>
      <c r="J187" s="80">
        <v>35</v>
      </c>
      <c r="K187" s="1374"/>
      <c r="L187" s="1374"/>
      <c r="M187" s="1366" t="s">
        <v>3330</v>
      </c>
    </row>
    <row r="188" spans="1:13" x14ac:dyDescent="0.2">
      <c r="A188" s="1404"/>
      <c r="B188" s="1371"/>
      <c r="C188" s="79">
        <v>5</v>
      </c>
      <c r="D188" s="80">
        <v>121</v>
      </c>
      <c r="E188" s="81">
        <v>4.7</v>
      </c>
      <c r="F188" s="80">
        <v>100</v>
      </c>
      <c r="G188" s="81">
        <v>4.3</v>
      </c>
      <c r="H188" s="80">
        <v>89</v>
      </c>
      <c r="I188" s="81">
        <v>3.8</v>
      </c>
      <c r="J188" s="80">
        <v>33</v>
      </c>
      <c r="K188" s="1374"/>
      <c r="L188" s="1374"/>
      <c r="M188" s="1366" t="s">
        <v>3330</v>
      </c>
    </row>
    <row r="189" spans="1:13" x14ac:dyDescent="0.2">
      <c r="A189" s="1404"/>
      <c r="B189" s="1371"/>
      <c r="C189" s="79">
        <v>5.0999999999999996</v>
      </c>
      <c r="D189" s="80">
        <v>113</v>
      </c>
      <c r="E189" s="81">
        <v>4.8</v>
      </c>
      <c r="F189" s="80">
        <v>93</v>
      </c>
      <c r="G189" s="81">
        <v>4.4000000000000004</v>
      </c>
      <c r="H189" s="80">
        <v>82</v>
      </c>
      <c r="I189" s="81">
        <v>3.9</v>
      </c>
      <c r="J189" s="80">
        <v>31</v>
      </c>
      <c r="K189" s="1374"/>
      <c r="L189" s="1374"/>
      <c r="M189" s="1366" t="s">
        <v>3330</v>
      </c>
    </row>
    <row r="190" spans="1:13" x14ac:dyDescent="0.2">
      <c r="A190" s="1404"/>
      <c r="B190" s="1371"/>
      <c r="C190" s="79">
        <v>5.2</v>
      </c>
      <c r="D190" s="80">
        <v>105</v>
      </c>
      <c r="E190" s="81">
        <v>4.9000000000000004</v>
      </c>
      <c r="F190" s="80">
        <v>86</v>
      </c>
      <c r="G190" s="81">
        <v>4.5</v>
      </c>
      <c r="H190" s="80">
        <v>76</v>
      </c>
      <c r="I190" s="81">
        <v>4</v>
      </c>
      <c r="J190" s="80">
        <v>29</v>
      </c>
      <c r="K190" s="1374"/>
      <c r="L190" s="1374"/>
      <c r="M190" s="1366" t="s">
        <v>3330</v>
      </c>
    </row>
    <row r="191" spans="1:13" x14ac:dyDescent="0.2">
      <c r="A191" s="1404"/>
      <c r="B191" s="1371"/>
      <c r="C191" s="79">
        <v>5.3</v>
      </c>
      <c r="D191" s="80">
        <v>98</v>
      </c>
      <c r="E191" s="81"/>
      <c r="F191" s="80"/>
      <c r="G191" s="81"/>
      <c r="H191" s="80"/>
      <c r="I191" s="81"/>
      <c r="J191" s="80"/>
      <c r="K191" s="1374"/>
      <c r="L191" s="1374"/>
      <c r="M191" s="1366" t="s">
        <v>3330</v>
      </c>
    </row>
    <row r="192" spans="1:13" x14ac:dyDescent="0.2">
      <c r="A192" s="1404"/>
      <c r="B192" s="115" t="s">
        <v>3335</v>
      </c>
      <c r="C192" s="79">
        <v>5.4</v>
      </c>
      <c r="D192" s="80">
        <v>90</v>
      </c>
      <c r="E192" s="81">
        <v>5</v>
      </c>
      <c r="F192" s="80">
        <v>78</v>
      </c>
      <c r="G192" s="81">
        <v>4.5999999999999996</v>
      </c>
      <c r="H192" s="80">
        <v>69</v>
      </c>
      <c r="I192" s="81">
        <v>4.0999999999999996</v>
      </c>
      <c r="J192" s="80">
        <v>27</v>
      </c>
      <c r="K192" s="1374"/>
      <c r="L192" s="1374"/>
      <c r="M192" s="1366" t="s">
        <v>3335</v>
      </c>
    </row>
    <row r="193" spans="1:13" x14ac:dyDescent="0.2">
      <c r="A193" s="1404"/>
      <c r="B193" s="1371"/>
      <c r="C193" s="79">
        <v>5.5</v>
      </c>
      <c r="D193" s="80">
        <v>82</v>
      </c>
      <c r="E193" s="81">
        <v>5.0999999999999996</v>
      </c>
      <c r="F193" s="80">
        <v>71</v>
      </c>
      <c r="G193" s="81">
        <v>4.7</v>
      </c>
      <c r="H193" s="80">
        <v>63</v>
      </c>
      <c r="I193" s="81">
        <v>4.2</v>
      </c>
      <c r="J193" s="80">
        <v>25</v>
      </c>
      <c r="K193" s="1374"/>
      <c r="L193" s="1374"/>
      <c r="M193" s="1366" t="s">
        <v>3335</v>
      </c>
    </row>
    <row r="194" spans="1:13" x14ac:dyDescent="0.2">
      <c r="A194" s="1404"/>
      <c r="B194" s="1371"/>
      <c r="C194" s="79">
        <v>5.6</v>
      </c>
      <c r="D194" s="80">
        <v>75</v>
      </c>
      <c r="E194" s="81">
        <v>5.2</v>
      </c>
      <c r="F194" s="80">
        <v>69</v>
      </c>
      <c r="G194" s="81">
        <v>4.8</v>
      </c>
      <c r="H194" s="80">
        <v>56</v>
      </c>
      <c r="I194" s="81">
        <v>4.3</v>
      </c>
      <c r="J194" s="80">
        <v>23</v>
      </c>
      <c r="K194" s="1374"/>
      <c r="L194" s="1374"/>
      <c r="M194" s="1366" t="s">
        <v>3335</v>
      </c>
    </row>
    <row r="195" spans="1:13" x14ac:dyDescent="0.2">
      <c r="A195" s="1404"/>
      <c r="B195" s="1371"/>
      <c r="C195" s="79">
        <v>5.7</v>
      </c>
      <c r="D195" s="80">
        <v>67</v>
      </c>
      <c r="E195" s="81">
        <v>5.3</v>
      </c>
      <c r="F195" s="80">
        <v>56</v>
      </c>
      <c r="G195" s="81">
        <v>4.9000000000000004</v>
      </c>
      <c r="H195" s="80">
        <v>50</v>
      </c>
      <c r="I195" s="81">
        <v>4.4000000000000004</v>
      </c>
      <c r="J195" s="80">
        <v>21</v>
      </c>
      <c r="K195" s="1374"/>
      <c r="L195" s="1374"/>
      <c r="M195" s="1366" t="s">
        <v>3335</v>
      </c>
    </row>
    <row r="196" spans="1:13" x14ac:dyDescent="0.2">
      <c r="A196" s="1404"/>
      <c r="B196" s="1371"/>
      <c r="C196" s="79">
        <v>5.8</v>
      </c>
      <c r="D196" s="80">
        <v>59</v>
      </c>
      <c r="E196" s="81">
        <v>5.4</v>
      </c>
      <c r="F196" s="80">
        <v>49</v>
      </c>
      <c r="G196" s="81">
        <v>5</v>
      </c>
      <c r="H196" s="80">
        <v>43</v>
      </c>
      <c r="I196" s="81">
        <v>4.5</v>
      </c>
      <c r="J196" s="80">
        <v>19</v>
      </c>
      <c r="K196" s="1374"/>
      <c r="L196" s="1374"/>
      <c r="M196" s="1366" t="s">
        <v>3335</v>
      </c>
    </row>
    <row r="197" spans="1:13" x14ac:dyDescent="0.2">
      <c r="A197" s="1404"/>
      <c r="B197" s="1371"/>
      <c r="C197" s="79">
        <v>5.9</v>
      </c>
      <c r="D197" s="80">
        <v>52</v>
      </c>
      <c r="E197" s="81">
        <v>5.5</v>
      </c>
      <c r="F197" s="80">
        <v>41</v>
      </c>
      <c r="G197" s="81">
        <v>5.0999999999999996</v>
      </c>
      <c r="H197" s="80">
        <v>37</v>
      </c>
      <c r="I197" s="81">
        <v>4.5999999999999996</v>
      </c>
      <c r="J197" s="80">
        <v>17</v>
      </c>
      <c r="K197" s="1374"/>
      <c r="L197" s="1374"/>
      <c r="M197" s="1366" t="s">
        <v>3335</v>
      </c>
    </row>
    <row r="198" spans="1:13" x14ac:dyDescent="0.2">
      <c r="A198" s="1404"/>
      <c r="B198" s="1371"/>
      <c r="C198" s="79">
        <v>6</v>
      </c>
      <c r="D198" s="80">
        <v>44</v>
      </c>
      <c r="E198" s="81">
        <v>5.6</v>
      </c>
      <c r="F198" s="80">
        <v>34</v>
      </c>
      <c r="G198" s="81">
        <v>5.2</v>
      </c>
      <c r="H198" s="80">
        <v>30</v>
      </c>
      <c r="I198" s="81">
        <v>4.7</v>
      </c>
      <c r="J198" s="80">
        <v>14</v>
      </c>
      <c r="K198" s="1374"/>
      <c r="L198" s="1374"/>
      <c r="M198" s="1366" t="s">
        <v>3335</v>
      </c>
    </row>
    <row r="199" spans="1:13" x14ac:dyDescent="0.2">
      <c r="A199" s="1404"/>
      <c r="B199" s="1371"/>
      <c r="C199" s="79">
        <v>6.1</v>
      </c>
      <c r="D199" s="80">
        <v>36</v>
      </c>
      <c r="E199" s="81">
        <v>5.7</v>
      </c>
      <c r="F199" s="80">
        <v>27</v>
      </c>
      <c r="G199" s="81">
        <v>5.3</v>
      </c>
      <c r="H199" s="80">
        <v>24</v>
      </c>
      <c r="I199" s="81">
        <v>4.8</v>
      </c>
      <c r="J199" s="80">
        <v>12</v>
      </c>
      <c r="K199" s="1374"/>
      <c r="L199" s="1374"/>
      <c r="M199" s="1366" t="s">
        <v>3335</v>
      </c>
    </row>
    <row r="200" spans="1:13" x14ac:dyDescent="0.2">
      <c r="A200" s="1404"/>
      <c r="B200" s="1371"/>
      <c r="C200" s="79">
        <v>6.2</v>
      </c>
      <c r="D200" s="80">
        <v>29</v>
      </c>
      <c r="E200" s="81">
        <v>5.8</v>
      </c>
      <c r="F200" s="80">
        <v>19</v>
      </c>
      <c r="G200" s="81">
        <v>5.4</v>
      </c>
      <c r="H200" s="80">
        <v>17</v>
      </c>
      <c r="I200" s="81">
        <v>4.9000000000000004</v>
      </c>
      <c r="J200" s="80">
        <v>10</v>
      </c>
      <c r="K200" s="1374"/>
      <c r="L200" s="1374"/>
      <c r="M200" s="1366" t="s">
        <v>3335</v>
      </c>
    </row>
    <row r="201" spans="1:13" x14ac:dyDescent="0.2">
      <c r="A201" s="1404"/>
      <c r="B201" s="1371"/>
      <c r="C201" s="79">
        <v>6.3</v>
      </c>
      <c r="D201" s="80">
        <v>21</v>
      </c>
      <c r="E201" s="81"/>
      <c r="F201" s="80"/>
      <c r="G201" s="81"/>
      <c r="H201" s="80"/>
      <c r="I201" s="81">
        <v>5</v>
      </c>
      <c r="J201" s="80">
        <v>8</v>
      </c>
      <c r="K201" s="1374"/>
      <c r="L201" s="1374"/>
      <c r="M201" s="1366" t="s">
        <v>3335</v>
      </c>
    </row>
    <row r="202" spans="1:13" x14ac:dyDescent="0.2">
      <c r="A202" s="1404"/>
      <c r="B202" s="115" t="s">
        <v>3336</v>
      </c>
      <c r="C202" s="79">
        <v>6.4</v>
      </c>
      <c r="D202" s="80">
        <v>20</v>
      </c>
      <c r="E202" s="81">
        <v>5.9</v>
      </c>
      <c r="F202" s="80">
        <v>18</v>
      </c>
      <c r="G202" s="81">
        <v>5.5</v>
      </c>
      <c r="H202" s="80">
        <v>16</v>
      </c>
      <c r="I202" s="81">
        <v>5.0999999999999996</v>
      </c>
      <c r="J202" s="80">
        <v>7</v>
      </c>
      <c r="K202" s="1374"/>
      <c r="L202" s="1374"/>
      <c r="M202" s="1366" t="s">
        <v>3336</v>
      </c>
    </row>
    <row r="203" spans="1:13" x14ac:dyDescent="0.2">
      <c r="A203" s="1404"/>
      <c r="B203" s="1371"/>
      <c r="C203" s="79">
        <v>6.5</v>
      </c>
      <c r="D203" s="80">
        <v>20</v>
      </c>
      <c r="E203" s="81">
        <v>6</v>
      </c>
      <c r="F203" s="80">
        <v>18</v>
      </c>
      <c r="G203" s="81">
        <v>5.6</v>
      </c>
      <c r="H203" s="80">
        <v>16</v>
      </c>
      <c r="I203" s="81">
        <v>5.2</v>
      </c>
      <c r="J203" s="80">
        <v>7</v>
      </c>
      <c r="K203" s="1374"/>
      <c r="L203" s="1374"/>
      <c r="M203" s="1366" t="s">
        <v>3336</v>
      </c>
    </row>
    <row r="204" spans="1:13" x14ac:dyDescent="0.2">
      <c r="A204" s="1404"/>
      <c r="B204" s="1371"/>
      <c r="C204" s="79">
        <v>6.6</v>
      </c>
      <c r="D204" s="80">
        <v>20</v>
      </c>
      <c r="E204" s="81">
        <v>6.1</v>
      </c>
      <c r="F204" s="80">
        <v>18</v>
      </c>
      <c r="G204" s="81">
        <v>5.7</v>
      </c>
      <c r="H204" s="80">
        <v>16</v>
      </c>
      <c r="I204" s="81">
        <v>5.3</v>
      </c>
      <c r="J204" s="80">
        <v>7</v>
      </c>
      <c r="K204" s="1374"/>
      <c r="L204" s="1374"/>
      <c r="M204" s="1366" t="s">
        <v>3336</v>
      </c>
    </row>
    <row r="205" spans="1:13" x14ac:dyDescent="0.2">
      <c r="A205" s="1404"/>
      <c r="B205" s="1371"/>
      <c r="C205" s="79">
        <v>6.7</v>
      </c>
      <c r="D205" s="80">
        <v>20</v>
      </c>
      <c r="E205" s="81">
        <v>6.2</v>
      </c>
      <c r="F205" s="80">
        <v>18</v>
      </c>
      <c r="G205" s="81">
        <v>5.8</v>
      </c>
      <c r="H205" s="80">
        <v>16</v>
      </c>
      <c r="I205" s="81">
        <v>5.4</v>
      </c>
      <c r="J205" s="80">
        <v>7</v>
      </c>
      <c r="K205" s="1374"/>
      <c r="L205" s="1374"/>
      <c r="M205" s="1366" t="s">
        <v>3336</v>
      </c>
    </row>
    <row r="206" spans="1:13" x14ac:dyDescent="0.2">
      <c r="A206" s="1404"/>
      <c r="B206" s="1371"/>
      <c r="C206" s="79">
        <v>6.8</v>
      </c>
      <c r="D206" s="80">
        <v>20</v>
      </c>
      <c r="E206" s="81">
        <v>6.3</v>
      </c>
      <c r="F206" s="80">
        <v>18</v>
      </c>
      <c r="G206" s="81">
        <v>5.9</v>
      </c>
      <c r="H206" s="80">
        <v>16</v>
      </c>
      <c r="I206" s="81">
        <v>5.5</v>
      </c>
      <c r="J206" s="80">
        <v>7</v>
      </c>
      <c r="K206" s="1374"/>
      <c r="L206" s="1374"/>
      <c r="M206" s="1366" t="s">
        <v>3336</v>
      </c>
    </row>
    <row r="207" spans="1:13" x14ac:dyDescent="0.2">
      <c r="A207" s="1404"/>
      <c r="B207" s="1371"/>
      <c r="C207" s="79">
        <v>6.9</v>
      </c>
      <c r="D207" s="80">
        <v>20</v>
      </c>
      <c r="E207" s="81">
        <v>6.4</v>
      </c>
      <c r="F207" s="80">
        <v>18</v>
      </c>
      <c r="G207" s="81">
        <v>6</v>
      </c>
      <c r="H207" s="80">
        <v>16</v>
      </c>
      <c r="I207" s="81">
        <v>5.6</v>
      </c>
      <c r="J207" s="80">
        <v>7</v>
      </c>
      <c r="K207" s="1374"/>
      <c r="L207" s="1374"/>
      <c r="M207" s="1366" t="s">
        <v>3336</v>
      </c>
    </row>
    <row r="208" spans="1:13" x14ac:dyDescent="0.2">
      <c r="A208" s="1404"/>
      <c r="B208" s="1371"/>
      <c r="C208" s="79">
        <v>7</v>
      </c>
      <c r="D208" s="80">
        <v>20</v>
      </c>
      <c r="E208" s="81">
        <v>6.5</v>
      </c>
      <c r="F208" s="80">
        <v>18</v>
      </c>
      <c r="G208" s="81">
        <v>6.1</v>
      </c>
      <c r="H208" s="80">
        <v>16</v>
      </c>
      <c r="I208" s="81">
        <v>5.7</v>
      </c>
      <c r="J208" s="80">
        <v>7</v>
      </c>
      <c r="K208" s="1374"/>
      <c r="L208" s="1374"/>
      <c r="M208" s="1366" t="s">
        <v>3336</v>
      </c>
    </row>
    <row r="209" spans="1:13" x14ac:dyDescent="0.2">
      <c r="A209" s="1404"/>
      <c r="B209" s="1371"/>
      <c r="C209" s="79">
        <v>7.1</v>
      </c>
      <c r="D209" s="80">
        <v>20</v>
      </c>
      <c r="E209" s="81">
        <v>6.6</v>
      </c>
      <c r="F209" s="80">
        <v>18</v>
      </c>
      <c r="G209" s="81">
        <v>6.2</v>
      </c>
      <c r="H209" s="80">
        <v>16</v>
      </c>
      <c r="I209" s="81">
        <v>5.8</v>
      </c>
      <c r="J209" s="80">
        <v>7</v>
      </c>
      <c r="K209" s="1374"/>
      <c r="L209" s="1374"/>
      <c r="M209" s="1366" t="s">
        <v>3336</v>
      </c>
    </row>
    <row r="210" spans="1:13" x14ac:dyDescent="0.2">
      <c r="A210" s="1404"/>
      <c r="B210" s="1371"/>
      <c r="C210" s="79">
        <v>7.2</v>
      </c>
      <c r="D210" s="80">
        <v>20</v>
      </c>
      <c r="E210" s="81">
        <v>6.7</v>
      </c>
      <c r="F210" s="80">
        <v>18</v>
      </c>
      <c r="G210" s="81">
        <v>6.3</v>
      </c>
      <c r="H210" s="80">
        <v>16</v>
      </c>
      <c r="I210" s="81">
        <v>5.9</v>
      </c>
      <c r="J210" s="80">
        <v>7</v>
      </c>
      <c r="K210" s="1374"/>
      <c r="L210" s="1374"/>
      <c r="M210" s="1366" t="s">
        <v>3336</v>
      </c>
    </row>
    <row r="211" spans="1:13" x14ac:dyDescent="0.2">
      <c r="A211" s="1404"/>
      <c r="B211" s="115" t="s">
        <v>3337</v>
      </c>
      <c r="C211" s="79">
        <v>7.3</v>
      </c>
      <c r="D211" s="80">
        <v>0</v>
      </c>
      <c r="E211" s="81">
        <v>6.8</v>
      </c>
      <c r="F211" s="80">
        <v>0</v>
      </c>
      <c r="G211" s="81">
        <v>6.4</v>
      </c>
      <c r="H211" s="80">
        <v>0</v>
      </c>
      <c r="I211" s="81">
        <v>6</v>
      </c>
      <c r="J211" s="80">
        <v>0</v>
      </c>
      <c r="K211" s="1374"/>
      <c r="L211" s="1374"/>
      <c r="M211" s="1366" t="s">
        <v>3337</v>
      </c>
    </row>
    <row r="212" spans="1:13" x14ac:dyDescent="0.2">
      <c r="A212" s="1404"/>
      <c r="B212" s="1371"/>
      <c r="C212" s="79">
        <v>7.4</v>
      </c>
      <c r="D212" s="80">
        <v>0</v>
      </c>
      <c r="E212" s="81">
        <v>6.9</v>
      </c>
      <c r="F212" s="80">
        <v>0</v>
      </c>
      <c r="G212" s="81">
        <v>6.5</v>
      </c>
      <c r="H212" s="80">
        <v>0</v>
      </c>
      <c r="I212" s="81">
        <v>6.1</v>
      </c>
      <c r="J212" s="80">
        <v>0</v>
      </c>
      <c r="K212" s="1374"/>
      <c r="L212" s="1374"/>
      <c r="M212" s="1366" t="s">
        <v>3337</v>
      </c>
    </row>
    <row r="213" spans="1:13" x14ac:dyDescent="0.2">
      <c r="A213" s="1404"/>
      <c r="B213" s="1371"/>
      <c r="C213" s="79">
        <v>7.5</v>
      </c>
      <c r="D213" s="80">
        <v>0</v>
      </c>
      <c r="E213" s="81">
        <v>7</v>
      </c>
      <c r="F213" s="80">
        <v>0</v>
      </c>
      <c r="G213" s="81">
        <v>6.6</v>
      </c>
      <c r="H213" s="80">
        <v>0</v>
      </c>
      <c r="I213" s="81">
        <v>6.2</v>
      </c>
      <c r="J213" s="80">
        <v>0</v>
      </c>
      <c r="K213" s="1374"/>
      <c r="L213" s="1374"/>
      <c r="M213" s="1366" t="s">
        <v>3337</v>
      </c>
    </row>
    <row r="214" spans="1:13" x14ac:dyDescent="0.2">
      <c r="A214" s="1404"/>
      <c r="B214" s="1371"/>
      <c r="C214" s="79">
        <v>7.6</v>
      </c>
      <c r="D214" s="80">
        <v>0</v>
      </c>
      <c r="E214" s="81">
        <v>7.1</v>
      </c>
      <c r="F214" s="80">
        <v>0</v>
      </c>
      <c r="G214" s="81">
        <v>6.7</v>
      </c>
      <c r="H214" s="80">
        <v>0</v>
      </c>
      <c r="I214" s="81">
        <v>6.3</v>
      </c>
      <c r="J214" s="80">
        <v>0</v>
      </c>
      <c r="K214" s="1374"/>
      <c r="L214" s="1374"/>
      <c r="M214" s="1366" t="s">
        <v>3337</v>
      </c>
    </row>
    <row r="215" spans="1:13" x14ac:dyDescent="0.2">
      <c r="A215" s="1404"/>
      <c r="B215" s="1371"/>
      <c r="C215" s="79">
        <v>7.7</v>
      </c>
      <c r="D215" s="80">
        <v>0</v>
      </c>
      <c r="E215" s="81">
        <v>7.2</v>
      </c>
      <c r="F215" s="80">
        <v>0</v>
      </c>
      <c r="G215" s="81"/>
      <c r="H215" s="80"/>
      <c r="I215" s="81"/>
      <c r="J215" s="80"/>
      <c r="K215" s="1374"/>
      <c r="L215" s="1374"/>
      <c r="M215" s="1366" t="s">
        <v>3337</v>
      </c>
    </row>
    <row r="216" spans="1:13" x14ac:dyDescent="0.2">
      <c r="A216" s="1404"/>
      <c r="B216" s="115" t="s">
        <v>3338</v>
      </c>
      <c r="C216" s="79" t="s">
        <v>3881</v>
      </c>
      <c r="D216" s="80">
        <v>0</v>
      </c>
      <c r="E216" s="81" t="s">
        <v>3882</v>
      </c>
      <c r="F216" s="80">
        <v>0</v>
      </c>
      <c r="G216" s="81" t="s">
        <v>3873</v>
      </c>
      <c r="H216" s="80">
        <v>0</v>
      </c>
      <c r="I216" s="81" t="s">
        <v>3867</v>
      </c>
      <c r="J216" s="80">
        <v>0</v>
      </c>
      <c r="K216" s="1374"/>
      <c r="L216" s="1374"/>
    </row>
    <row r="217" spans="1:13" x14ac:dyDescent="0.2">
      <c r="A217" s="1404"/>
      <c r="B217" s="115" t="s">
        <v>3338</v>
      </c>
      <c r="C217" s="79">
        <v>7.8</v>
      </c>
      <c r="D217" s="80">
        <v>0</v>
      </c>
      <c r="E217" s="81">
        <v>7.3</v>
      </c>
      <c r="F217" s="80">
        <v>0</v>
      </c>
      <c r="G217" s="81">
        <v>6.8</v>
      </c>
      <c r="H217" s="80">
        <v>0</v>
      </c>
      <c r="I217" s="81">
        <v>6.4</v>
      </c>
      <c r="J217" s="80">
        <v>0</v>
      </c>
      <c r="K217" s="1374">
        <v>1</v>
      </c>
      <c r="L217" s="1374"/>
      <c r="M217" s="1366" t="s">
        <v>3338</v>
      </c>
    </row>
    <row r="218" spans="1:13" x14ac:dyDescent="0.2">
      <c r="A218" s="1404"/>
      <c r="C218" s="112">
        <v>10</v>
      </c>
      <c r="D218" s="112">
        <v>0</v>
      </c>
      <c r="E218" s="112">
        <v>10</v>
      </c>
      <c r="F218" s="112">
        <v>0</v>
      </c>
      <c r="G218" s="112">
        <v>10</v>
      </c>
      <c r="H218" s="112">
        <v>0</v>
      </c>
      <c r="I218" s="112">
        <v>10</v>
      </c>
      <c r="J218" s="112">
        <v>0</v>
      </c>
      <c r="K218" s="112">
        <v>10</v>
      </c>
      <c r="L218" s="112">
        <v>0</v>
      </c>
      <c r="M218" s="1366" t="s">
        <v>3338</v>
      </c>
    </row>
    <row r="219" spans="1:13" x14ac:dyDescent="0.2">
      <c r="A219" s="1404"/>
      <c r="B219" s="114" t="s">
        <v>3861</v>
      </c>
      <c r="D219" s="1374">
        <f>IF(AND($A181=$H$270,D$12=$H$271),VLOOKUP($I$272,C182:D218,2,TRUE),0)</f>
        <v>0</v>
      </c>
      <c r="F219" s="1374">
        <f>IF(AND($A181=$H$270,F$12=$H$271),VLOOKUP($I$272,E182:F218,2,TRUE),0)</f>
        <v>0</v>
      </c>
      <c r="H219" s="1374">
        <f>IF(AND($A181=$H$270,H$12=$H$271),VLOOKUP($I$272,G182:H218,2,TRUE),0)</f>
        <v>0</v>
      </c>
      <c r="J219" s="1374">
        <f>IF(AND($A181=$H$270,J$12=$H$271),VLOOKUP($I$272,I182:J218,2,TRUE),0)</f>
        <v>0</v>
      </c>
      <c r="K219" s="112"/>
      <c r="L219" s="1374">
        <f>IF(AND($A181=$H$270,L$12=$H$271),VLOOKUP($I$272,K182:L218,2,TRUE),0)</f>
        <v>0</v>
      </c>
      <c r="M219" s="1405">
        <f>MAX(D219:L219)</f>
        <v>0</v>
      </c>
    </row>
    <row r="220" spans="1:13" x14ac:dyDescent="0.2">
      <c r="A220" s="1404"/>
      <c r="B220" s="114" t="s">
        <v>3862</v>
      </c>
      <c r="C220" s="1395" t="str">
        <f>IF(AND($A181=$H$270,D$12=$H$271),VLOOKUP($I$272,C182:M218,11,TRUE),"")</f>
        <v/>
      </c>
      <c r="E220" s="1395" t="str">
        <f>IF(AND($A181=$H$270,F$12=$H$271),VLOOKUP($I$272,E182:M218,9,TRUE),"")</f>
        <v/>
      </c>
      <c r="F220" s="112"/>
      <c r="G220" s="1395" t="str">
        <f>IF(AND($A181=$H$270,H$12=$H$271),VLOOKUP($I$272,G182:M218,7,TRUE),"")</f>
        <v/>
      </c>
      <c r="H220" s="112"/>
      <c r="I220" s="1395" t="str">
        <f>IF(AND($A181=$H$270,J$12=$H$271),VLOOKUP($I$272,I182:M218,5,TRUE),"")</f>
        <v/>
      </c>
      <c r="J220" s="112"/>
      <c r="K220" s="1395" t="str">
        <f>IF(AND($A181=$H$270,L$12=$H$271),VLOOKUP($I$272,K182:M218,3,TRUE),"")</f>
        <v/>
      </c>
      <c r="L220" s="112"/>
      <c r="M220" s="1396" t="str">
        <f>C220&amp;E220&amp;G220&amp;I220&amp;K220</f>
        <v/>
      </c>
    </row>
    <row r="222" spans="1:13" x14ac:dyDescent="0.2">
      <c r="C222" s="1981" t="s">
        <v>21</v>
      </c>
      <c r="D222" s="1982"/>
      <c r="E222" s="1982"/>
      <c r="F222" s="1982"/>
      <c r="G222" s="1982"/>
      <c r="H222" s="1982"/>
      <c r="I222" s="1982"/>
      <c r="J222" s="1983"/>
    </row>
    <row r="223" spans="1:13" x14ac:dyDescent="0.2">
      <c r="C223" s="1981" t="s">
        <v>3844</v>
      </c>
      <c r="D223" s="1983"/>
      <c r="E223" s="1981" t="s">
        <v>3845</v>
      </c>
      <c r="F223" s="1983"/>
      <c r="G223" s="1981" t="s">
        <v>3319</v>
      </c>
      <c r="H223" s="1983"/>
      <c r="I223" s="1981" t="s">
        <v>3320</v>
      </c>
      <c r="J223" s="1983"/>
      <c r="K223" s="1981" t="s">
        <v>3846</v>
      </c>
      <c r="L223" s="1983"/>
    </row>
    <row r="225" spans="1:13" x14ac:dyDescent="0.2">
      <c r="B225" s="1368" t="s">
        <v>3326</v>
      </c>
      <c r="C225" s="1369" t="s">
        <v>3327</v>
      </c>
      <c r="D225" s="1370" t="s">
        <v>3847</v>
      </c>
      <c r="E225" s="1370" t="s">
        <v>3327</v>
      </c>
      <c r="F225" s="1370" t="s">
        <v>3847</v>
      </c>
      <c r="G225" s="1370" t="s">
        <v>3327</v>
      </c>
      <c r="H225" s="1370" t="s">
        <v>3847</v>
      </c>
      <c r="I225" s="1370" t="s">
        <v>3327</v>
      </c>
      <c r="J225" s="1370" t="s">
        <v>3847</v>
      </c>
      <c r="K225" s="1370" t="s">
        <v>3327</v>
      </c>
      <c r="L225" s="1370" t="s">
        <v>3847</v>
      </c>
    </row>
    <row r="226" spans="1:13" x14ac:dyDescent="0.2">
      <c r="B226" s="1371"/>
    </row>
    <row r="227" spans="1:13" x14ac:dyDescent="0.2">
      <c r="A227" s="1406">
        <f>B264</f>
        <v>6</v>
      </c>
      <c r="B227" s="1992" t="s">
        <v>4704</v>
      </c>
      <c r="C227" s="1993"/>
      <c r="D227" s="1993"/>
      <c r="E227" s="1993"/>
      <c r="F227" s="1993"/>
      <c r="G227" s="1993"/>
      <c r="H227" s="1993"/>
      <c r="I227" s="1993"/>
      <c r="J227" s="1993"/>
      <c r="K227" s="1993"/>
      <c r="L227" s="1993"/>
    </row>
    <row r="228" spans="1:13" x14ac:dyDescent="0.2">
      <c r="A228" s="1407"/>
      <c r="B228" s="1371"/>
      <c r="C228" s="112">
        <v>1</v>
      </c>
      <c r="D228" s="112">
        <v>0</v>
      </c>
      <c r="E228" s="112">
        <v>1</v>
      </c>
      <c r="F228" s="112">
        <v>0</v>
      </c>
      <c r="G228" s="112">
        <v>1</v>
      </c>
      <c r="H228" s="112">
        <v>0</v>
      </c>
      <c r="I228" s="112">
        <v>1</v>
      </c>
      <c r="J228" s="112">
        <v>0</v>
      </c>
      <c r="K228" s="112">
        <v>1</v>
      </c>
      <c r="L228" s="112">
        <v>10</v>
      </c>
      <c r="M228" s="1366" t="s">
        <v>3330</v>
      </c>
    </row>
    <row r="229" spans="1:13" x14ac:dyDescent="0.2">
      <c r="A229" s="1407"/>
      <c r="B229" s="115" t="s">
        <v>3883</v>
      </c>
      <c r="C229" s="79"/>
      <c r="D229" s="1374"/>
      <c r="E229" s="81"/>
      <c r="F229" s="1374"/>
      <c r="G229" s="81"/>
      <c r="H229" s="1374"/>
      <c r="I229" s="81"/>
      <c r="J229" s="1374"/>
      <c r="K229" s="81" t="s">
        <v>3334</v>
      </c>
      <c r="L229" s="80">
        <v>10</v>
      </c>
      <c r="M229" s="1366" t="s">
        <v>3330</v>
      </c>
    </row>
    <row r="230" spans="1:13" x14ac:dyDescent="0.2">
      <c r="A230" s="1407"/>
      <c r="B230" s="115" t="s">
        <v>3336</v>
      </c>
      <c r="C230" s="79"/>
      <c r="D230" s="1374"/>
      <c r="E230" s="81"/>
      <c r="F230" s="1374"/>
      <c r="G230" s="81"/>
      <c r="H230" s="1374"/>
      <c r="I230" s="81"/>
      <c r="J230" s="1374"/>
      <c r="K230" s="81">
        <v>4.3</v>
      </c>
      <c r="L230" s="80">
        <v>0</v>
      </c>
      <c r="M230" s="1366" t="s">
        <v>3336</v>
      </c>
    </row>
    <row r="231" spans="1:13" x14ac:dyDescent="0.2">
      <c r="A231" s="1407"/>
      <c r="B231" s="115" t="s">
        <v>3337</v>
      </c>
      <c r="C231" s="79"/>
      <c r="D231" s="1374"/>
      <c r="E231" s="81"/>
      <c r="F231" s="1374"/>
      <c r="G231" s="81"/>
      <c r="H231" s="1374"/>
      <c r="I231" s="81"/>
      <c r="J231" s="1374"/>
      <c r="K231" s="81">
        <v>4.4000000000000004</v>
      </c>
      <c r="L231" s="80">
        <v>0</v>
      </c>
      <c r="M231" s="1366" t="s">
        <v>3337</v>
      </c>
    </row>
    <row r="232" spans="1:13" x14ac:dyDescent="0.2">
      <c r="A232" s="1407"/>
      <c r="B232" s="115" t="s">
        <v>3884</v>
      </c>
      <c r="C232" s="79"/>
      <c r="D232" s="1374"/>
      <c r="E232" s="81"/>
      <c r="F232" s="1374"/>
      <c r="G232" s="81"/>
      <c r="H232" s="1374"/>
      <c r="I232" s="81"/>
      <c r="J232" s="1374"/>
      <c r="K232" s="81" t="s">
        <v>3885</v>
      </c>
      <c r="L232" s="80">
        <v>0</v>
      </c>
      <c r="M232" s="1366" t="s">
        <v>3338</v>
      </c>
    </row>
    <row r="233" spans="1:13" x14ac:dyDescent="0.2">
      <c r="C233" s="112">
        <v>10</v>
      </c>
      <c r="D233" s="112">
        <v>0</v>
      </c>
      <c r="E233" s="112">
        <v>10</v>
      </c>
      <c r="F233" s="112">
        <v>0</v>
      </c>
      <c r="G233" s="112">
        <v>10</v>
      </c>
      <c r="H233" s="112">
        <v>0</v>
      </c>
      <c r="I233" s="112">
        <v>10</v>
      </c>
      <c r="J233" s="112">
        <v>0</v>
      </c>
      <c r="K233" s="112">
        <v>10</v>
      </c>
      <c r="L233" s="112">
        <v>0</v>
      </c>
      <c r="M233" s="1366" t="s">
        <v>3338</v>
      </c>
    </row>
    <row r="234" spans="1:13" x14ac:dyDescent="0.2">
      <c r="B234" s="114" t="s">
        <v>3861</v>
      </c>
      <c r="D234" s="1374">
        <f>IF(AND($A227=$H$270,D$12=$H$271),VLOOKUP($I$272,C228:D233,2,TRUE),0)</f>
        <v>0</v>
      </c>
      <c r="F234" s="1374">
        <f>IF(AND($A227=$H$270,F$12=$H$271),VLOOKUP($I$272,E228:F233,2,TRUE),0)</f>
        <v>0</v>
      </c>
      <c r="H234" s="1374">
        <f>IF(AND($A227=$H$270,H$12=$H$271),VLOOKUP($I$272,G228:H233,2,TRUE),0)</f>
        <v>0</v>
      </c>
      <c r="J234" s="1374">
        <f>IF(AND($A227=$H$270,J$12=$H$271),VLOOKUP($I$272,I228:J233,2,TRUE),0)</f>
        <v>0</v>
      </c>
      <c r="K234" s="112"/>
      <c r="L234" s="1374">
        <f>IF(AND($A227=$H$270,L$12=$H$271),VLOOKUP($I$272,K228:L233,2,TRUE),0)</f>
        <v>0</v>
      </c>
      <c r="M234" s="116">
        <f>MAX(D234:L234)</f>
        <v>0</v>
      </c>
    </row>
    <row r="235" spans="1:13" x14ac:dyDescent="0.2">
      <c r="B235" s="114" t="s">
        <v>3862</v>
      </c>
      <c r="C235" s="1395" t="str">
        <f>IF(AND($A227=$H$270,D$12=$H$271),VLOOKUP($I$272,C228:M233,11,TRUE),"")</f>
        <v/>
      </c>
      <c r="E235" s="1395" t="str">
        <f>IF(AND($A227=$H$270,F$12=$H$271),VLOOKUP($I$272,E228:M233,9,TRUE),"")</f>
        <v/>
      </c>
      <c r="G235" s="1395" t="str">
        <f>IF(AND($A227=$H$270,H$12=$H$271),VLOOKUP($I$272,G228:S233,$M$2,TRUE),"")</f>
        <v/>
      </c>
      <c r="I235" s="1395" t="str">
        <f>IF(AND($A227=$H$270,J$12=$H$271),VLOOKUP($I$272,I228:U233,$M$2,TRUE),"")</f>
        <v/>
      </c>
      <c r="K235" s="1395" t="str">
        <f>IF(AND($A227=$H$270,L$12=$H$271),VLOOKUP($I$272,K228:M233,3,TRUE),"")</f>
        <v/>
      </c>
      <c r="M235" s="116" t="str">
        <f>C235&amp;E235&amp;G235&amp;I235&amp;K235</f>
        <v/>
      </c>
    </row>
    <row r="237" spans="1:13" x14ac:dyDescent="0.2">
      <c r="C237" s="1981" t="s">
        <v>21</v>
      </c>
      <c r="D237" s="1982"/>
      <c r="E237" s="1982"/>
      <c r="F237" s="1982"/>
      <c r="G237" s="1982"/>
      <c r="H237" s="1982"/>
      <c r="I237" s="1982"/>
      <c r="J237" s="1983"/>
    </row>
    <row r="238" spans="1:13" x14ac:dyDescent="0.2">
      <c r="C238" s="1981" t="s">
        <v>3844</v>
      </c>
      <c r="D238" s="1983"/>
      <c r="E238" s="1981" t="s">
        <v>3845</v>
      </c>
      <c r="F238" s="1983"/>
      <c r="G238" s="1981" t="s">
        <v>3319</v>
      </c>
      <c r="H238" s="1983"/>
      <c r="I238" s="1981" t="s">
        <v>3320</v>
      </c>
      <c r="J238" s="1983"/>
      <c r="K238" s="1981" t="s">
        <v>3846</v>
      </c>
      <c r="L238" s="1983"/>
    </row>
    <row r="240" spans="1:13" x14ac:dyDescent="0.2">
      <c r="B240" s="1368" t="s">
        <v>3326</v>
      </c>
      <c r="C240" s="1369" t="s">
        <v>3327</v>
      </c>
      <c r="D240" s="1370" t="s">
        <v>3847</v>
      </c>
      <c r="E240" s="1370" t="s">
        <v>3327</v>
      </c>
      <c r="F240" s="1370" t="s">
        <v>3847</v>
      </c>
      <c r="G240" s="1370" t="s">
        <v>3327</v>
      </c>
      <c r="H240" s="1370" t="s">
        <v>3847</v>
      </c>
      <c r="I240" s="1370" t="s">
        <v>3327</v>
      </c>
      <c r="J240" s="1370" t="s">
        <v>3847</v>
      </c>
      <c r="K240" s="1370" t="s">
        <v>3327</v>
      </c>
      <c r="L240" s="1370" t="s">
        <v>3847</v>
      </c>
    </row>
    <row r="241" spans="1:13" x14ac:dyDescent="0.2">
      <c r="B241" s="1371"/>
    </row>
    <row r="242" spans="1:13" x14ac:dyDescent="0.2">
      <c r="A242" s="1510">
        <f>B265</f>
        <v>7</v>
      </c>
      <c r="B242" s="1990" t="s">
        <v>4703</v>
      </c>
      <c r="C242" s="1991"/>
      <c r="D242" s="1991"/>
      <c r="E242" s="1991"/>
      <c r="F242" s="1991"/>
      <c r="G242" s="1991"/>
      <c r="H242" s="1991"/>
      <c r="I242" s="1991"/>
      <c r="J242" s="1991"/>
      <c r="K242" s="1991"/>
      <c r="L242" s="1991"/>
    </row>
    <row r="243" spans="1:13" x14ac:dyDescent="0.2">
      <c r="A243" s="1511"/>
      <c r="B243" s="1371"/>
      <c r="C243" s="112">
        <v>1</v>
      </c>
      <c r="D243" s="112">
        <v>0</v>
      </c>
      <c r="E243" s="112">
        <v>1</v>
      </c>
      <c r="F243" s="112">
        <v>0</v>
      </c>
      <c r="G243" s="112">
        <v>1</v>
      </c>
      <c r="H243" s="112">
        <v>0</v>
      </c>
      <c r="I243" s="112">
        <v>1</v>
      </c>
      <c r="J243" s="112">
        <v>0</v>
      </c>
      <c r="K243" s="112">
        <v>1</v>
      </c>
      <c r="L243" s="112">
        <v>10</v>
      </c>
      <c r="M243" s="1366" t="s">
        <v>3330</v>
      </c>
    </row>
    <row r="244" spans="1:13" x14ac:dyDescent="0.2">
      <c r="A244" s="1511"/>
      <c r="B244" s="115" t="s">
        <v>3883</v>
      </c>
      <c r="C244" s="79"/>
      <c r="D244" s="1374"/>
      <c r="E244" s="81"/>
      <c r="F244" s="1374"/>
      <c r="G244" s="81"/>
      <c r="H244" s="1374"/>
      <c r="I244" s="81"/>
      <c r="J244" s="1374"/>
      <c r="K244" s="81" t="s">
        <v>3334</v>
      </c>
      <c r="L244" s="80">
        <v>10</v>
      </c>
      <c r="M244" s="1366" t="s">
        <v>3330</v>
      </c>
    </row>
    <row r="245" spans="1:13" x14ac:dyDescent="0.2">
      <c r="A245" s="1511"/>
      <c r="B245" s="115" t="s">
        <v>3336</v>
      </c>
      <c r="C245" s="79"/>
      <c r="D245" s="1374"/>
      <c r="E245" s="81"/>
      <c r="F245" s="1374"/>
      <c r="G245" s="81"/>
      <c r="H245" s="1374"/>
      <c r="I245" s="81"/>
      <c r="J245" s="1374"/>
      <c r="K245" s="81">
        <v>4.3</v>
      </c>
      <c r="L245" s="80">
        <v>0</v>
      </c>
      <c r="M245" s="1366" t="s">
        <v>3336</v>
      </c>
    </row>
    <row r="246" spans="1:13" x14ac:dyDescent="0.2">
      <c r="A246" s="1511"/>
      <c r="B246" s="115" t="s">
        <v>3337</v>
      </c>
      <c r="C246" s="79"/>
      <c r="D246" s="1374"/>
      <c r="E246" s="81"/>
      <c r="F246" s="1374"/>
      <c r="G246" s="81"/>
      <c r="H246" s="1374"/>
      <c r="I246" s="81"/>
      <c r="J246" s="1374"/>
      <c r="K246" s="81">
        <v>4.4000000000000004</v>
      </c>
      <c r="L246" s="80">
        <v>0</v>
      </c>
      <c r="M246" s="1366" t="s">
        <v>3337</v>
      </c>
    </row>
    <row r="247" spans="1:13" x14ac:dyDescent="0.2">
      <c r="A247" s="1511"/>
      <c r="B247" s="115" t="s">
        <v>3884</v>
      </c>
      <c r="C247" s="79"/>
      <c r="D247" s="1374"/>
      <c r="E247" s="81"/>
      <c r="F247" s="1374"/>
      <c r="G247" s="81"/>
      <c r="H247" s="1374"/>
      <c r="I247" s="81"/>
      <c r="J247" s="1374"/>
      <c r="K247" s="81" t="s">
        <v>3885</v>
      </c>
      <c r="L247" s="80">
        <v>0</v>
      </c>
      <c r="M247" s="1366" t="s">
        <v>3338</v>
      </c>
    </row>
    <row r="248" spans="1:13" x14ac:dyDescent="0.2">
      <c r="C248" s="112">
        <v>10</v>
      </c>
      <c r="D248" s="112">
        <v>0</v>
      </c>
      <c r="E248" s="112">
        <v>10</v>
      </c>
      <c r="F248" s="112">
        <v>0</v>
      </c>
      <c r="G248" s="112">
        <v>10</v>
      </c>
      <c r="H248" s="112">
        <v>0</v>
      </c>
      <c r="I248" s="112">
        <v>10</v>
      </c>
      <c r="J248" s="112">
        <v>0</v>
      </c>
      <c r="K248" s="112">
        <v>10</v>
      </c>
      <c r="L248" s="112">
        <v>0</v>
      </c>
      <c r="M248" s="1366" t="s">
        <v>3338</v>
      </c>
    </row>
    <row r="249" spans="1:13" x14ac:dyDescent="0.2">
      <c r="B249" s="114" t="s">
        <v>3861</v>
      </c>
      <c r="D249" s="1374">
        <f>IF(AND($A242=$H$270,D$12=$H$271),VLOOKUP($I$272,C243:D248,2,TRUE),0)</f>
        <v>0</v>
      </c>
      <c r="F249" s="1374">
        <f>IF(AND($A242=$H$270,F$12=$H$271),VLOOKUP($I$272,E243:F248,2,TRUE),0)</f>
        <v>0</v>
      </c>
      <c r="H249" s="1374">
        <f>IF(AND($A242=$H$270,H$12=$H$271),VLOOKUP($I$272,G243:H248,2,TRUE),0)</f>
        <v>0</v>
      </c>
      <c r="J249" s="1374">
        <f>IF(AND($A242=$H$270,J$12=$H$271),VLOOKUP($I$272,I243:J248,2,TRUE),0)</f>
        <v>0</v>
      </c>
      <c r="K249" s="112"/>
      <c r="L249" s="1374">
        <f>IF(AND($A242=$H$270,L$12=$H$271),VLOOKUP($I$272,K243:L248,2,TRUE),0)</f>
        <v>0</v>
      </c>
      <c r="M249" s="116">
        <f>MAX(D249:L249)</f>
        <v>0</v>
      </c>
    </row>
    <row r="250" spans="1:13" x14ac:dyDescent="0.2">
      <c r="B250" s="114" t="s">
        <v>3862</v>
      </c>
      <c r="C250" s="1395" t="str">
        <f>IF(AND($A242=$H$270,D$12=$H$271),VLOOKUP($I$272,C243:M248,11,TRUE),"")</f>
        <v/>
      </c>
      <c r="E250" s="1395" t="str">
        <f>IF(AND($A242=$H$270,F$12=$H$271),VLOOKUP($I$272,E243:M248,9,TRUE),"")</f>
        <v/>
      </c>
      <c r="G250" s="1395" t="str">
        <f>IF(AND($A242=$H$270,H$12=$H$271),VLOOKUP($I$272,G243:S248,$M$2,TRUE),"")</f>
        <v/>
      </c>
      <c r="I250" s="1395" t="str">
        <f>IF(AND($A242=$H$270,J$12=$H$271),VLOOKUP($I$272,I243:U248,$M$2,TRUE),"")</f>
        <v/>
      </c>
      <c r="K250" s="1395" t="str">
        <f>IF(AND($A242=$H$270,L$12=$H$271),VLOOKUP($I$272,K243:M248,3,TRUE),"")</f>
        <v/>
      </c>
      <c r="M250" s="116" t="str">
        <f>C250&amp;E250&amp;G250&amp;I250&amp;K250</f>
        <v/>
      </c>
    </row>
    <row r="251" spans="1:13" x14ac:dyDescent="0.2">
      <c r="M251" s="1282"/>
    </row>
    <row r="252" spans="1:13" x14ac:dyDescent="0.2">
      <c r="I252" s="1512" t="s">
        <v>3886</v>
      </c>
      <c r="J252" s="1512"/>
      <c r="K252" s="1512"/>
      <c r="L252" s="1512"/>
      <c r="M252" s="1513">
        <f>M46+M88+M129+M173+M219+M234+M249</f>
        <v>30</v>
      </c>
    </row>
    <row r="253" spans="1:13" x14ac:dyDescent="0.2">
      <c r="J253" s="1512" t="s">
        <v>3362</v>
      </c>
      <c r="K253" s="1512"/>
      <c r="L253" s="1512"/>
      <c r="M253" s="1514" t="str">
        <f>M250&amp;M235&amp;M220&amp;M174&amp;M130&amp;M89&amp;M47</f>
        <v>B</v>
      </c>
    </row>
    <row r="254" spans="1:13" ht="13.5" thickBot="1" x14ac:dyDescent="0.25"/>
    <row r="255" spans="1:13" x14ac:dyDescent="0.2">
      <c r="B255" s="1408"/>
      <c r="C255" s="1409"/>
      <c r="D255" s="1409"/>
      <c r="E255" s="1409"/>
      <c r="F255" s="1410" t="s">
        <v>3350</v>
      </c>
      <c r="G255" s="1409"/>
      <c r="H255" s="1409"/>
      <c r="I255" s="1409"/>
      <c r="J255" s="1411"/>
    </row>
    <row r="256" spans="1:13" x14ac:dyDescent="0.2">
      <c r="B256" s="1412"/>
      <c r="C256" s="1381"/>
      <c r="D256" s="1381"/>
      <c r="E256" s="1381"/>
      <c r="F256" s="1413" t="s">
        <v>3479</v>
      </c>
      <c r="G256" s="1381"/>
      <c r="H256" s="1381"/>
      <c r="I256" s="1381"/>
      <c r="J256" s="1414"/>
    </row>
    <row r="257" spans="2:15" x14ac:dyDescent="0.2">
      <c r="B257" s="1415"/>
      <c r="C257" s="1381"/>
      <c r="D257" s="1381"/>
      <c r="E257" s="1381"/>
      <c r="F257" s="1994" t="s">
        <v>3326</v>
      </c>
      <c r="G257" s="1994"/>
      <c r="H257" s="1994"/>
      <c r="I257" s="1994"/>
      <c r="J257" s="1995"/>
    </row>
    <row r="258" spans="2:15" x14ac:dyDescent="0.2">
      <c r="B258" s="1996" t="s">
        <v>3577</v>
      </c>
      <c r="C258" s="1997"/>
      <c r="D258" s="1997"/>
      <c r="E258" s="1998"/>
      <c r="F258" s="1383" t="s">
        <v>3330</v>
      </c>
      <c r="G258" s="1383" t="s">
        <v>3335</v>
      </c>
      <c r="H258" s="1383" t="s">
        <v>3336</v>
      </c>
      <c r="I258" s="1383" t="s">
        <v>3337</v>
      </c>
      <c r="J258" s="1416" t="s">
        <v>3338</v>
      </c>
      <c r="K258" s="122" t="s">
        <v>3887</v>
      </c>
      <c r="L258" s="122" t="s">
        <v>3364</v>
      </c>
    </row>
    <row r="259" spans="2:15" x14ac:dyDescent="0.2">
      <c r="B259" s="118">
        <v>1</v>
      </c>
      <c r="C259" s="119" t="s">
        <v>3352</v>
      </c>
      <c r="D259" s="1381"/>
      <c r="E259" s="1381"/>
      <c r="F259" s="120">
        <v>30</v>
      </c>
      <c r="G259" s="120">
        <v>30</v>
      </c>
      <c r="H259" s="120">
        <v>30</v>
      </c>
      <c r="I259" s="120">
        <v>0</v>
      </c>
      <c r="J259" s="121">
        <v>0</v>
      </c>
      <c r="K259" s="122" t="s">
        <v>3634</v>
      </c>
      <c r="L259" s="122" t="s">
        <v>3635</v>
      </c>
    </row>
    <row r="260" spans="2:15" x14ac:dyDescent="0.2">
      <c r="B260" s="123">
        <v>2</v>
      </c>
      <c r="C260" s="119" t="s">
        <v>3456</v>
      </c>
      <c r="D260" s="1381"/>
      <c r="E260" s="1381"/>
      <c r="F260" s="120">
        <v>30</v>
      </c>
      <c r="G260" s="120">
        <v>30</v>
      </c>
      <c r="H260" s="120">
        <v>30</v>
      </c>
      <c r="I260" s="120">
        <v>0</v>
      </c>
      <c r="J260" s="121">
        <v>0</v>
      </c>
      <c r="K260" s="122" t="s">
        <v>3636</v>
      </c>
      <c r="L260" s="122" t="s">
        <v>3635</v>
      </c>
    </row>
    <row r="261" spans="2:15" x14ac:dyDescent="0.2">
      <c r="B261" s="123">
        <v>3</v>
      </c>
      <c r="C261" s="119" t="s">
        <v>3356</v>
      </c>
      <c r="D261" s="1381"/>
      <c r="E261" s="1381"/>
      <c r="F261" s="120">
        <v>60</v>
      </c>
      <c r="G261" s="120">
        <v>60</v>
      </c>
      <c r="H261" s="120">
        <v>60</v>
      </c>
      <c r="I261" s="120">
        <v>0</v>
      </c>
      <c r="J261" s="121">
        <v>0</v>
      </c>
      <c r="K261" s="122" t="s">
        <v>3637</v>
      </c>
      <c r="L261" s="122" t="s">
        <v>3453</v>
      </c>
    </row>
    <row r="262" spans="2:15" x14ac:dyDescent="0.2">
      <c r="B262" s="123">
        <v>4</v>
      </c>
      <c r="C262" s="119" t="s">
        <v>3451</v>
      </c>
      <c r="D262" s="1381"/>
      <c r="E262" s="1381"/>
      <c r="F262" s="120">
        <v>60</v>
      </c>
      <c r="G262" s="120">
        <v>60</v>
      </c>
      <c r="H262" s="120">
        <v>60</v>
      </c>
      <c r="I262" s="120">
        <v>0</v>
      </c>
      <c r="J262" s="121">
        <v>0</v>
      </c>
      <c r="K262" s="122" t="s">
        <v>3638</v>
      </c>
      <c r="L262" s="122" t="s">
        <v>3453</v>
      </c>
    </row>
    <row r="263" spans="2:15" x14ac:dyDescent="0.2">
      <c r="B263" s="123">
        <v>5</v>
      </c>
      <c r="C263" s="119" t="s">
        <v>3457</v>
      </c>
      <c r="D263" s="1381"/>
      <c r="E263" s="1381"/>
      <c r="F263" s="120">
        <v>90</v>
      </c>
      <c r="G263" s="120">
        <v>90</v>
      </c>
      <c r="H263" s="120">
        <v>90</v>
      </c>
      <c r="I263" s="120">
        <v>0</v>
      </c>
      <c r="J263" s="121">
        <v>0</v>
      </c>
      <c r="K263" s="122" t="s">
        <v>3639</v>
      </c>
      <c r="L263" s="122" t="s">
        <v>3640</v>
      </c>
    </row>
    <row r="264" spans="2:15" x14ac:dyDescent="0.2">
      <c r="B264" s="123">
        <v>6</v>
      </c>
      <c r="C264" s="119" t="s">
        <v>3368</v>
      </c>
      <c r="D264" s="1381"/>
      <c r="E264" s="1381"/>
      <c r="F264" s="120">
        <v>10</v>
      </c>
      <c r="G264" s="120">
        <v>0</v>
      </c>
      <c r="H264" s="120">
        <v>0</v>
      </c>
      <c r="I264" s="120">
        <v>0</v>
      </c>
      <c r="J264" s="121">
        <v>0</v>
      </c>
      <c r="K264" s="122" t="s">
        <v>3641</v>
      </c>
      <c r="L264" s="122" t="s">
        <v>3369</v>
      </c>
    </row>
    <row r="265" spans="2:15" ht="13.5" thickBot="1" x14ac:dyDescent="0.25">
      <c r="B265" s="124">
        <v>7</v>
      </c>
      <c r="C265" s="125" t="s">
        <v>3363</v>
      </c>
      <c r="D265" s="1417"/>
      <c r="E265" s="1417"/>
      <c r="F265" s="126">
        <v>10</v>
      </c>
      <c r="G265" s="126">
        <v>0</v>
      </c>
      <c r="H265" s="126">
        <v>0</v>
      </c>
      <c r="I265" s="126">
        <v>0</v>
      </c>
      <c r="J265" s="127">
        <v>0</v>
      </c>
      <c r="K265" s="122" t="s">
        <v>3641</v>
      </c>
      <c r="L265" s="122" t="s">
        <v>3369</v>
      </c>
    </row>
    <row r="267" spans="2:15" x14ac:dyDescent="0.2">
      <c r="E267" s="1282" t="s">
        <v>3344</v>
      </c>
      <c r="G267" s="120">
        <f>INDEX(F259:J265,MATCH(H270,B259:B265,FALSE),MATCH(H274,F258:J258,FALSE))</f>
        <v>60</v>
      </c>
    </row>
    <row r="268" spans="2:15" ht="13.5" thickBot="1" x14ac:dyDescent="0.25"/>
    <row r="269" spans="2:15" x14ac:dyDescent="0.2">
      <c r="C269" s="1408" t="s">
        <v>3888</v>
      </c>
      <c r="D269" s="1409"/>
      <c r="E269" s="1409"/>
      <c r="F269" s="128"/>
      <c r="G269" s="1409"/>
      <c r="H269" s="1409"/>
      <c r="I269" s="1409"/>
      <c r="J269" s="1409"/>
      <c r="K269" s="1411"/>
      <c r="N269" s="1395" t="s">
        <v>3887</v>
      </c>
      <c r="O269" s="1395" t="s">
        <v>3364</v>
      </c>
    </row>
    <row r="270" spans="2:15" x14ac:dyDescent="0.2">
      <c r="B270" s="1381" t="s">
        <v>3889</v>
      </c>
      <c r="C270" s="1412"/>
      <c r="D270" s="1381"/>
      <c r="E270" s="1381"/>
      <c r="F270" s="1381"/>
      <c r="G270" s="129" t="s">
        <v>3351</v>
      </c>
      <c r="H270" s="1418">
        <f>AB_Eingabe!$M$40</f>
        <v>4</v>
      </c>
      <c r="I270" s="130" t="str">
        <f>VLOOKUP($H$270,Bodenarten!$B$11:$C$17,Bodenarten!$C$2,FALSE)</f>
        <v>sandiger bis schluffiger Lehm, sL - uL</v>
      </c>
      <c r="J270" s="1381"/>
      <c r="K270" s="1414"/>
      <c r="M270" s="325" t="s">
        <v>3719</v>
      </c>
      <c r="N270" s="1395" t="str">
        <f>VLOOKUP(H270,B259:L265,L2,FALSE)</f>
        <v>sL -uL</v>
      </c>
      <c r="O270" s="1419" t="str">
        <f>VLOOKUP($H$270,$B$259:$L$265,$M$2,FALSE)</f>
        <v>mittel</v>
      </c>
    </row>
    <row r="271" spans="2:15" x14ac:dyDescent="0.2">
      <c r="B271" s="1381" t="s">
        <v>3889</v>
      </c>
      <c r="C271" s="1412"/>
      <c r="D271" s="1381"/>
      <c r="E271" s="1381"/>
      <c r="F271" s="1381"/>
      <c r="G271" s="129" t="s">
        <v>3353</v>
      </c>
      <c r="H271" s="1418">
        <f>$R$40</f>
        <v>1</v>
      </c>
      <c r="I271" s="130" t="str">
        <f>VLOOKUP($H$271,$R$32:$S$36,$S$28)</f>
        <v>0 - 4 %</v>
      </c>
      <c r="J271" s="1381"/>
      <c r="K271" s="1414"/>
    </row>
    <row r="272" spans="2:15" x14ac:dyDescent="0.2">
      <c r="B272" s="1381" t="s">
        <v>3889</v>
      </c>
      <c r="C272" s="1412"/>
      <c r="D272" s="1381"/>
      <c r="E272" s="1381"/>
      <c r="F272" s="1381"/>
      <c r="G272" s="129" t="s">
        <v>3355</v>
      </c>
      <c r="H272" s="1418">
        <f>AB_Eingabe!M42</f>
        <v>31</v>
      </c>
      <c r="I272" s="131">
        <f>VLOOKUP($H$272,$T$31:$U$79,$U$29)</f>
        <v>6.0000000000000098</v>
      </c>
      <c r="J272" s="1381"/>
      <c r="K272" s="1414"/>
    </row>
    <row r="273" spans="2:11" x14ac:dyDescent="0.2">
      <c r="B273" s="1381" t="s">
        <v>3890</v>
      </c>
      <c r="C273" s="1420"/>
      <c r="D273" s="1421"/>
      <c r="E273" s="1421"/>
      <c r="F273" s="1421"/>
      <c r="G273" s="1422" t="s">
        <v>3357</v>
      </c>
      <c r="H273" s="1423">
        <f>$M$252</f>
        <v>30</v>
      </c>
      <c r="I273" s="1421" t="s">
        <v>3358</v>
      </c>
      <c r="J273" s="1421"/>
      <c r="K273" s="1424"/>
    </row>
    <row r="274" spans="2:11" x14ac:dyDescent="0.2">
      <c r="B274" s="1282" t="s">
        <v>3890</v>
      </c>
      <c r="C274" s="1412"/>
      <c r="D274" s="1381"/>
      <c r="E274" s="1381"/>
      <c r="F274" s="1381"/>
      <c r="G274" s="1380" t="s">
        <v>3362</v>
      </c>
      <c r="H274" s="1425" t="str">
        <f>$M$253</f>
        <v>B</v>
      </c>
      <c r="I274" s="1381"/>
      <c r="J274" s="1381"/>
      <c r="K274" s="1414"/>
    </row>
    <row r="275" spans="2:11" ht="13.5" thickBot="1" x14ac:dyDescent="0.25">
      <c r="B275" s="1282" t="s">
        <v>3890</v>
      </c>
      <c r="C275" s="1426"/>
      <c r="D275" s="1417"/>
      <c r="E275" s="1417"/>
      <c r="F275" s="1417"/>
      <c r="G275" s="132" t="s">
        <v>3891</v>
      </c>
      <c r="H275" s="1427">
        <f>$G$267</f>
        <v>60</v>
      </c>
      <c r="I275" s="1417" t="s">
        <v>3479</v>
      </c>
      <c r="J275" s="1417"/>
      <c r="K275" s="1428"/>
    </row>
  </sheetData>
  <sheetProtection password="8677" sheet="1" objects="1" scenarios="1"/>
  <mergeCells count="51">
    <mergeCell ref="B242:L242"/>
    <mergeCell ref="B227:L227"/>
    <mergeCell ref="F257:J257"/>
    <mergeCell ref="B258:E258"/>
    <mergeCell ref="C181:L181"/>
    <mergeCell ref="C222:J222"/>
    <mergeCell ref="C223:D223"/>
    <mergeCell ref="E223:F223"/>
    <mergeCell ref="G223:H223"/>
    <mergeCell ref="I223:J223"/>
    <mergeCell ref="K223:L223"/>
    <mergeCell ref="C237:J237"/>
    <mergeCell ref="C238:D238"/>
    <mergeCell ref="E238:F238"/>
    <mergeCell ref="G238:H238"/>
    <mergeCell ref="I238:J238"/>
    <mergeCell ref="K238:L238"/>
    <mergeCell ref="B137:L137"/>
    <mergeCell ref="C176:J176"/>
    <mergeCell ref="C177:D177"/>
    <mergeCell ref="E177:F177"/>
    <mergeCell ref="G177:H177"/>
    <mergeCell ref="I177:J177"/>
    <mergeCell ref="K177:L177"/>
    <mergeCell ref="B96:L96"/>
    <mergeCell ref="C132:J132"/>
    <mergeCell ref="C133:D133"/>
    <mergeCell ref="E133:F133"/>
    <mergeCell ref="G133:H133"/>
    <mergeCell ref="I133:J133"/>
    <mergeCell ref="K133:L133"/>
    <mergeCell ref="B55:L55"/>
    <mergeCell ref="C91:J91"/>
    <mergeCell ref="C92:D92"/>
    <mergeCell ref="E92:F92"/>
    <mergeCell ref="G92:H92"/>
    <mergeCell ref="I92:J92"/>
    <mergeCell ref="K92:L92"/>
    <mergeCell ref="C18:L18"/>
    <mergeCell ref="C50:J50"/>
    <mergeCell ref="C51:D51"/>
    <mergeCell ref="E51:F51"/>
    <mergeCell ref="G51:H51"/>
    <mergeCell ref="I51:J51"/>
    <mergeCell ref="K51:L51"/>
    <mergeCell ref="C13:L13"/>
    <mergeCell ref="C14:D14"/>
    <mergeCell ref="E14:F14"/>
    <mergeCell ref="G14:H14"/>
    <mergeCell ref="I14:J14"/>
    <mergeCell ref="K14:L14"/>
  </mergeCells>
  <printOptions horizontalCentered="1" verticalCentered="1"/>
  <pageMargins left="0.78740157480314965" right="0.59055118110236227" top="0.39370078740157483" bottom="0.39370078740157483" header="0" footer="0.11811023622047245"/>
  <pageSetup paperSize="9" scale="48" fitToHeight="0" orientation="portrait" verticalDpi="1200" r:id="rId1"/>
  <headerFooter alignWithMargins="0">
    <oddFooter>&amp;L&amp;8LEL / LTZ / LAZBW / LWA-DS&amp;C&amp;8&amp;F  &amp;A&amp;R&amp;8&amp;D</oddFooter>
  </headerFooter>
  <rowBreaks count="4" manualBreakCount="4">
    <brk id="49" max="20" man="1"/>
    <brk id="90" max="20" man="1"/>
    <brk id="131" max="20" man="1"/>
    <brk id="175" max="16383" man="1"/>
  </rowBreaks>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6">
    <tabColor theme="6" tint="0.59999389629810485"/>
    <pageSetUpPr fitToPage="1"/>
  </sheetPr>
  <dimension ref="A1:AK73"/>
  <sheetViews>
    <sheetView zoomScaleNormal="100" workbookViewId="0">
      <pane ySplit="17" topLeftCell="A157" activePane="bottomLeft" state="frozen"/>
      <selection activeCell="A173" sqref="A173"/>
      <selection pane="bottomLeft" activeCell="A173" sqref="A173"/>
    </sheetView>
  </sheetViews>
  <sheetFormatPr baseColWidth="10" defaultRowHeight="12.75" x14ac:dyDescent="0.2"/>
  <cols>
    <col min="1" max="1" width="2.75" style="1287" customWidth="1"/>
    <col min="2" max="2" width="11.5" style="1287"/>
    <col min="3" max="3" width="12.5" style="1287" customWidth="1"/>
    <col min="4" max="11" width="11.5" style="1287"/>
    <col min="12" max="12" width="15.625" style="1287" customWidth="1"/>
    <col min="13" max="13" width="9.75" style="1290" customWidth="1"/>
    <col min="14" max="14" width="9.5" style="1287" customWidth="1"/>
    <col min="15" max="15" width="11.5" style="1287"/>
    <col min="16" max="18" width="11.75" style="1287" customWidth="1"/>
    <col min="19" max="23" width="9.75" style="1287" customWidth="1"/>
    <col min="24" max="256" width="11.5" style="1287"/>
    <col min="257" max="257" width="2.75" style="1287" customWidth="1"/>
    <col min="258" max="258" width="11.5" style="1287"/>
    <col min="259" max="259" width="12.5" style="1287" customWidth="1"/>
    <col min="260" max="267" width="11.5" style="1287"/>
    <col min="268" max="268" width="15.625" style="1287" customWidth="1"/>
    <col min="269" max="269" width="9.75" style="1287" customWidth="1"/>
    <col min="270" max="270" width="9.5" style="1287" customWidth="1"/>
    <col min="271" max="271" width="11.5" style="1287"/>
    <col min="272" max="274" width="11.75" style="1287" customWidth="1"/>
    <col min="275" max="279" width="9.75" style="1287" customWidth="1"/>
    <col min="280" max="512" width="11.5" style="1287"/>
    <col min="513" max="513" width="2.75" style="1287" customWidth="1"/>
    <col min="514" max="514" width="11.5" style="1287"/>
    <col min="515" max="515" width="12.5" style="1287" customWidth="1"/>
    <col min="516" max="523" width="11.5" style="1287"/>
    <col min="524" max="524" width="15.625" style="1287" customWidth="1"/>
    <col min="525" max="525" width="9.75" style="1287" customWidth="1"/>
    <col min="526" max="526" width="9.5" style="1287" customWidth="1"/>
    <col min="527" max="527" width="11.5" style="1287"/>
    <col min="528" max="530" width="11.75" style="1287" customWidth="1"/>
    <col min="531" max="535" width="9.75" style="1287" customWidth="1"/>
    <col min="536" max="768" width="11.5" style="1287"/>
    <col min="769" max="769" width="2.75" style="1287" customWidth="1"/>
    <col min="770" max="770" width="11.5" style="1287"/>
    <col min="771" max="771" width="12.5" style="1287" customWidth="1"/>
    <col min="772" max="779" width="11.5" style="1287"/>
    <col min="780" max="780" width="15.625" style="1287" customWidth="1"/>
    <col min="781" max="781" width="9.75" style="1287" customWidth="1"/>
    <col min="782" max="782" width="9.5" style="1287" customWidth="1"/>
    <col min="783" max="783" width="11.5" style="1287"/>
    <col min="784" max="786" width="11.75" style="1287" customWidth="1"/>
    <col min="787" max="791" width="9.75" style="1287" customWidth="1"/>
    <col min="792" max="1024" width="11.5" style="1287"/>
    <col min="1025" max="1025" width="2.75" style="1287" customWidth="1"/>
    <col min="1026" max="1026" width="11.5" style="1287"/>
    <col min="1027" max="1027" width="12.5" style="1287" customWidth="1"/>
    <col min="1028" max="1035" width="11.5" style="1287"/>
    <col min="1036" max="1036" width="15.625" style="1287" customWidth="1"/>
    <col min="1037" max="1037" width="9.75" style="1287" customWidth="1"/>
    <col min="1038" max="1038" width="9.5" style="1287" customWidth="1"/>
    <col min="1039" max="1039" width="11.5" style="1287"/>
    <col min="1040" max="1042" width="11.75" style="1287" customWidth="1"/>
    <col min="1043" max="1047" width="9.75" style="1287" customWidth="1"/>
    <col min="1048" max="1280" width="11.5" style="1287"/>
    <col min="1281" max="1281" width="2.75" style="1287" customWidth="1"/>
    <col min="1282" max="1282" width="11.5" style="1287"/>
    <col min="1283" max="1283" width="12.5" style="1287" customWidth="1"/>
    <col min="1284" max="1291" width="11.5" style="1287"/>
    <col min="1292" max="1292" width="15.625" style="1287" customWidth="1"/>
    <col min="1293" max="1293" width="9.75" style="1287" customWidth="1"/>
    <col min="1294" max="1294" width="9.5" style="1287" customWidth="1"/>
    <col min="1295" max="1295" width="11.5" style="1287"/>
    <col min="1296" max="1298" width="11.75" style="1287" customWidth="1"/>
    <col min="1299" max="1303" width="9.75" style="1287" customWidth="1"/>
    <col min="1304" max="1536" width="11.5" style="1287"/>
    <col min="1537" max="1537" width="2.75" style="1287" customWidth="1"/>
    <col min="1538" max="1538" width="11.5" style="1287"/>
    <col min="1539" max="1539" width="12.5" style="1287" customWidth="1"/>
    <col min="1540" max="1547" width="11.5" style="1287"/>
    <col min="1548" max="1548" width="15.625" style="1287" customWidth="1"/>
    <col min="1549" max="1549" width="9.75" style="1287" customWidth="1"/>
    <col min="1550" max="1550" width="9.5" style="1287" customWidth="1"/>
    <col min="1551" max="1551" width="11.5" style="1287"/>
    <col min="1552" max="1554" width="11.75" style="1287" customWidth="1"/>
    <col min="1555" max="1559" width="9.75" style="1287" customWidth="1"/>
    <col min="1560" max="1792" width="11.5" style="1287"/>
    <col min="1793" max="1793" width="2.75" style="1287" customWidth="1"/>
    <col min="1794" max="1794" width="11.5" style="1287"/>
    <col min="1795" max="1795" width="12.5" style="1287" customWidth="1"/>
    <col min="1796" max="1803" width="11.5" style="1287"/>
    <col min="1804" max="1804" width="15.625" style="1287" customWidth="1"/>
    <col min="1805" max="1805" width="9.75" style="1287" customWidth="1"/>
    <col min="1806" max="1806" width="9.5" style="1287" customWidth="1"/>
    <col min="1807" max="1807" width="11.5" style="1287"/>
    <col min="1808" max="1810" width="11.75" style="1287" customWidth="1"/>
    <col min="1811" max="1815" width="9.75" style="1287" customWidth="1"/>
    <col min="1816" max="2048" width="11.5" style="1287"/>
    <col min="2049" max="2049" width="2.75" style="1287" customWidth="1"/>
    <col min="2050" max="2050" width="11.5" style="1287"/>
    <col min="2051" max="2051" width="12.5" style="1287" customWidth="1"/>
    <col min="2052" max="2059" width="11.5" style="1287"/>
    <col min="2060" max="2060" width="15.625" style="1287" customWidth="1"/>
    <col min="2061" max="2061" width="9.75" style="1287" customWidth="1"/>
    <col min="2062" max="2062" width="9.5" style="1287" customWidth="1"/>
    <col min="2063" max="2063" width="11.5" style="1287"/>
    <col min="2064" max="2066" width="11.75" style="1287" customWidth="1"/>
    <col min="2067" max="2071" width="9.75" style="1287" customWidth="1"/>
    <col min="2072" max="2304" width="11.5" style="1287"/>
    <col min="2305" max="2305" width="2.75" style="1287" customWidth="1"/>
    <col min="2306" max="2306" width="11.5" style="1287"/>
    <col min="2307" max="2307" width="12.5" style="1287" customWidth="1"/>
    <col min="2308" max="2315" width="11.5" style="1287"/>
    <col min="2316" max="2316" width="15.625" style="1287" customWidth="1"/>
    <col min="2317" max="2317" width="9.75" style="1287" customWidth="1"/>
    <col min="2318" max="2318" width="9.5" style="1287" customWidth="1"/>
    <col min="2319" max="2319" width="11.5" style="1287"/>
    <col min="2320" max="2322" width="11.75" style="1287" customWidth="1"/>
    <col min="2323" max="2327" width="9.75" style="1287" customWidth="1"/>
    <col min="2328" max="2560" width="11.5" style="1287"/>
    <col min="2561" max="2561" width="2.75" style="1287" customWidth="1"/>
    <col min="2562" max="2562" width="11.5" style="1287"/>
    <col min="2563" max="2563" width="12.5" style="1287" customWidth="1"/>
    <col min="2564" max="2571" width="11.5" style="1287"/>
    <col min="2572" max="2572" width="15.625" style="1287" customWidth="1"/>
    <col min="2573" max="2573" width="9.75" style="1287" customWidth="1"/>
    <col min="2574" max="2574" width="9.5" style="1287" customWidth="1"/>
    <col min="2575" max="2575" width="11.5" style="1287"/>
    <col min="2576" max="2578" width="11.75" style="1287" customWidth="1"/>
    <col min="2579" max="2583" width="9.75" style="1287" customWidth="1"/>
    <col min="2584" max="2816" width="11.5" style="1287"/>
    <col min="2817" max="2817" width="2.75" style="1287" customWidth="1"/>
    <col min="2818" max="2818" width="11.5" style="1287"/>
    <col min="2819" max="2819" width="12.5" style="1287" customWidth="1"/>
    <col min="2820" max="2827" width="11.5" style="1287"/>
    <col min="2828" max="2828" width="15.625" style="1287" customWidth="1"/>
    <col min="2829" max="2829" width="9.75" style="1287" customWidth="1"/>
    <col min="2830" max="2830" width="9.5" style="1287" customWidth="1"/>
    <col min="2831" max="2831" width="11.5" style="1287"/>
    <col min="2832" max="2834" width="11.75" style="1287" customWidth="1"/>
    <col min="2835" max="2839" width="9.75" style="1287" customWidth="1"/>
    <col min="2840" max="3072" width="11.5" style="1287"/>
    <col min="3073" max="3073" width="2.75" style="1287" customWidth="1"/>
    <col min="3074" max="3074" width="11.5" style="1287"/>
    <col min="3075" max="3075" width="12.5" style="1287" customWidth="1"/>
    <col min="3076" max="3083" width="11.5" style="1287"/>
    <col min="3084" max="3084" width="15.625" style="1287" customWidth="1"/>
    <col min="3085" max="3085" width="9.75" style="1287" customWidth="1"/>
    <col min="3086" max="3086" width="9.5" style="1287" customWidth="1"/>
    <col min="3087" max="3087" width="11.5" style="1287"/>
    <col min="3088" max="3090" width="11.75" style="1287" customWidth="1"/>
    <col min="3091" max="3095" width="9.75" style="1287" customWidth="1"/>
    <col min="3096" max="3328" width="11.5" style="1287"/>
    <col min="3329" max="3329" width="2.75" style="1287" customWidth="1"/>
    <col min="3330" max="3330" width="11.5" style="1287"/>
    <col min="3331" max="3331" width="12.5" style="1287" customWidth="1"/>
    <col min="3332" max="3339" width="11.5" style="1287"/>
    <col min="3340" max="3340" width="15.625" style="1287" customWidth="1"/>
    <col min="3341" max="3341" width="9.75" style="1287" customWidth="1"/>
    <col min="3342" max="3342" width="9.5" style="1287" customWidth="1"/>
    <col min="3343" max="3343" width="11.5" style="1287"/>
    <col min="3344" max="3346" width="11.75" style="1287" customWidth="1"/>
    <col min="3347" max="3351" width="9.75" style="1287" customWidth="1"/>
    <col min="3352" max="3584" width="11.5" style="1287"/>
    <col min="3585" max="3585" width="2.75" style="1287" customWidth="1"/>
    <col min="3586" max="3586" width="11.5" style="1287"/>
    <col min="3587" max="3587" width="12.5" style="1287" customWidth="1"/>
    <col min="3588" max="3595" width="11.5" style="1287"/>
    <col min="3596" max="3596" width="15.625" style="1287" customWidth="1"/>
    <col min="3597" max="3597" width="9.75" style="1287" customWidth="1"/>
    <col min="3598" max="3598" width="9.5" style="1287" customWidth="1"/>
    <col min="3599" max="3599" width="11.5" style="1287"/>
    <col min="3600" max="3602" width="11.75" style="1287" customWidth="1"/>
    <col min="3603" max="3607" width="9.75" style="1287" customWidth="1"/>
    <col min="3608" max="3840" width="11.5" style="1287"/>
    <col min="3841" max="3841" width="2.75" style="1287" customWidth="1"/>
    <col min="3842" max="3842" width="11.5" style="1287"/>
    <col min="3843" max="3843" width="12.5" style="1287" customWidth="1"/>
    <col min="3844" max="3851" width="11.5" style="1287"/>
    <col min="3852" max="3852" width="15.625" style="1287" customWidth="1"/>
    <col min="3853" max="3853" width="9.75" style="1287" customWidth="1"/>
    <col min="3854" max="3854" width="9.5" style="1287" customWidth="1"/>
    <col min="3855" max="3855" width="11.5" style="1287"/>
    <col min="3856" max="3858" width="11.75" style="1287" customWidth="1"/>
    <col min="3859" max="3863" width="9.75" style="1287" customWidth="1"/>
    <col min="3864" max="4096" width="11.5" style="1287"/>
    <col min="4097" max="4097" width="2.75" style="1287" customWidth="1"/>
    <col min="4098" max="4098" width="11.5" style="1287"/>
    <col min="4099" max="4099" width="12.5" style="1287" customWidth="1"/>
    <col min="4100" max="4107" width="11.5" style="1287"/>
    <col min="4108" max="4108" width="15.625" style="1287" customWidth="1"/>
    <col min="4109" max="4109" width="9.75" style="1287" customWidth="1"/>
    <col min="4110" max="4110" width="9.5" style="1287" customWidth="1"/>
    <col min="4111" max="4111" width="11.5" style="1287"/>
    <col min="4112" max="4114" width="11.75" style="1287" customWidth="1"/>
    <col min="4115" max="4119" width="9.75" style="1287" customWidth="1"/>
    <col min="4120" max="4352" width="11.5" style="1287"/>
    <col min="4353" max="4353" width="2.75" style="1287" customWidth="1"/>
    <col min="4354" max="4354" width="11.5" style="1287"/>
    <col min="4355" max="4355" width="12.5" style="1287" customWidth="1"/>
    <col min="4356" max="4363" width="11.5" style="1287"/>
    <col min="4364" max="4364" width="15.625" style="1287" customWidth="1"/>
    <col min="4365" max="4365" width="9.75" style="1287" customWidth="1"/>
    <col min="4366" max="4366" width="9.5" style="1287" customWidth="1"/>
    <col min="4367" max="4367" width="11.5" style="1287"/>
    <col min="4368" max="4370" width="11.75" style="1287" customWidth="1"/>
    <col min="4371" max="4375" width="9.75" style="1287" customWidth="1"/>
    <col min="4376" max="4608" width="11.5" style="1287"/>
    <col min="4609" max="4609" width="2.75" style="1287" customWidth="1"/>
    <col min="4610" max="4610" width="11.5" style="1287"/>
    <col min="4611" max="4611" width="12.5" style="1287" customWidth="1"/>
    <col min="4612" max="4619" width="11.5" style="1287"/>
    <col min="4620" max="4620" width="15.625" style="1287" customWidth="1"/>
    <col min="4621" max="4621" width="9.75" style="1287" customWidth="1"/>
    <col min="4622" max="4622" width="9.5" style="1287" customWidth="1"/>
    <col min="4623" max="4623" width="11.5" style="1287"/>
    <col min="4624" max="4626" width="11.75" style="1287" customWidth="1"/>
    <col min="4627" max="4631" width="9.75" style="1287" customWidth="1"/>
    <col min="4632" max="4864" width="11.5" style="1287"/>
    <col min="4865" max="4865" width="2.75" style="1287" customWidth="1"/>
    <col min="4866" max="4866" width="11.5" style="1287"/>
    <col min="4867" max="4867" width="12.5" style="1287" customWidth="1"/>
    <col min="4868" max="4875" width="11.5" style="1287"/>
    <col min="4876" max="4876" width="15.625" style="1287" customWidth="1"/>
    <col min="4877" max="4877" width="9.75" style="1287" customWidth="1"/>
    <col min="4878" max="4878" width="9.5" style="1287" customWidth="1"/>
    <col min="4879" max="4879" width="11.5" style="1287"/>
    <col min="4880" max="4882" width="11.75" style="1287" customWidth="1"/>
    <col min="4883" max="4887" width="9.75" style="1287" customWidth="1"/>
    <col min="4888" max="5120" width="11.5" style="1287"/>
    <col min="5121" max="5121" width="2.75" style="1287" customWidth="1"/>
    <col min="5122" max="5122" width="11.5" style="1287"/>
    <col min="5123" max="5123" width="12.5" style="1287" customWidth="1"/>
    <col min="5124" max="5131" width="11.5" style="1287"/>
    <col min="5132" max="5132" width="15.625" style="1287" customWidth="1"/>
    <col min="5133" max="5133" width="9.75" style="1287" customWidth="1"/>
    <col min="5134" max="5134" width="9.5" style="1287" customWidth="1"/>
    <col min="5135" max="5135" width="11.5" style="1287"/>
    <col min="5136" max="5138" width="11.75" style="1287" customWidth="1"/>
    <col min="5139" max="5143" width="9.75" style="1287" customWidth="1"/>
    <col min="5144" max="5376" width="11.5" style="1287"/>
    <col min="5377" max="5377" width="2.75" style="1287" customWidth="1"/>
    <col min="5378" max="5378" width="11.5" style="1287"/>
    <col min="5379" max="5379" width="12.5" style="1287" customWidth="1"/>
    <col min="5380" max="5387" width="11.5" style="1287"/>
    <col min="5388" max="5388" width="15.625" style="1287" customWidth="1"/>
    <col min="5389" max="5389" width="9.75" style="1287" customWidth="1"/>
    <col min="5390" max="5390" width="9.5" style="1287" customWidth="1"/>
    <col min="5391" max="5391" width="11.5" style="1287"/>
    <col min="5392" max="5394" width="11.75" style="1287" customWidth="1"/>
    <col min="5395" max="5399" width="9.75" style="1287" customWidth="1"/>
    <col min="5400" max="5632" width="11.5" style="1287"/>
    <col min="5633" max="5633" width="2.75" style="1287" customWidth="1"/>
    <col min="5634" max="5634" width="11.5" style="1287"/>
    <col min="5635" max="5635" width="12.5" style="1287" customWidth="1"/>
    <col min="5636" max="5643" width="11.5" style="1287"/>
    <col min="5644" max="5644" width="15.625" style="1287" customWidth="1"/>
    <col min="5645" max="5645" width="9.75" style="1287" customWidth="1"/>
    <col min="5646" max="5646" width="9.5" style="1287" customWidth="1"/>
    <col min="5647" max="5647" width="11.5" style="1287"/>
    <col min="5648" max="5650" width="11.75" style="1287" customWidth="1"/>
    <col min="5651" max="5655" width="9.75" style="1287" customWidth="1"/>
    <col min="5656" max="5888" width="11.5" style="1287"/>
    <col min="5889" max="5889" width="2.75" style="1287" customWidth="1"/>
    <col min="5890" max="5890" width="11.5" style="1287"/>
    <col min="5891" max="5891" width="12.5" style="1287" customWidth="1"/>
    <col min="5892" max="5899" width="11.5" style="1287"/>
    <col min="5900" max="5900" width="15.625" style="1287" customWidth="1"/>
    <col min="5901" max="5901" width="9.75" style="1287" customWidth="1"/>
    <col min="5902" max="5902" width="9.5" style="1287" customWidth="1"/>
    <col min="5903" max="5903" width="11.5" style="1287"/>
    <col min="5904" max="5906" width="11.75" style="1287" customWidth="1"/>
    <col min="5907" max="5911" width="9.75" style="1287" customWidth="1"/>
    <col min="5912" max="6144" width="11.5" style="1287"/>
    <col min="6145" max="6145" width="2.75" style="1287" customWidth="1"/>
    <col min="6146" max="6146" width="11.5" style="1287"/>
    <col min="6147" max="6147" width="12.5" style="1287" customWidth="1"/>
    <col min="6148" max="6155" width="11.5" style="1287"/>
    <col min="6156" max="6156" width="15.625" style="1287" customWidth="1"/>
    <col min="6157" max="6157" width="9.75" style="1287" customWidth="1"/>
    <col min="6158" max="6158" width="9.5" style="1287" customWidth="1"/>
    <col min="6159" max="6159" width="11.5" style="1287"/>
    <col min="6160" max="6162" width="11.75" style="1287" customWidth="1"/>
    <col min="6163" max="6167" width="9.75" style="1287" customWidth="1"/>
    <col min="6168" max="6400" width="11.5" style="1287"/>
    <col min="6401" max="6401" width="2.75" style="1287" customWidth="1"/>
    <col min="6402" max="6402" width="11.5" style="1287"/>
    <col min="6403" max="6403" width="12.5" style="1287" customWidth="1"/>
    <col min="6404" max="6411" width="11.5" style="1287"/>
    <col min="6412" max="6412" width="15.625" style="1287" customWidth="1"/>
    <col min="6413" max="6413" width="9.75" style="1287" customWidth="1"/>
    <col min="6414" max="6414" width="9.5" style="1287" customWidth="1"/>
    <col min="6415" max="6415" width="11.5" style="1287"/>
    <col min="6416" max="6418" width="11.75" style="1287" customWidth="1"/>
    <col min="6419" max="6423" width="9.75" style="1287" customWidth="1"/>
    <col min="6424" max="6656" width="11.5" style="1287"/>
    <col min="6657" max="6657" width="2.75" style="1287" customWidth="1"/>
    <col min="6658" max="6658" width="11.5" style="1287"/>
    <col min="6659" max="6659" width="12.5" style="1287" customWidth="1"/>
    <col min="6660" max="6667" width="11.5" style="1287"/>
    <col min="6668" max="6668" width="15.625" style="1287" customWidth="1"/>
    <col min="6669" max="6669" width="9.75" style="1287" customWidth="1"/>
    <col min="6670" max="6670" width="9.5" style="1287" customWidth="1"/>
    <col min="6671" max="6671" width="11.5" style="1287"/>
    <col min="6672" max="6674" width="11.75" style="1287" customWidth="1"/>
    <col min="6675" max="6679" width="9.75" style="1287" customWidth="1"/>
    <col min="6680" max="6912" width="11.5" style="1287"/>
    <col min="6913" max="6913" width="2.75" style="1287" customWidth="1"/>
    <col min="6914" max="6914" width="11.5" style="1287"/>
    <col min="6915" max="6915" width="12.5" style="1287" customWidth="1"/>
    <col min="6916" max="6923" width="11.5" style="1287"/>
    <col min="6924" max="6924" width="15.625" style="1287" customWidth="1"/>
    <col min="6925" max="6925" width="9.75" style="1287" customWidth="1"/>
    <col min="6926" max="6926" width="9.5" style="1287" customWidth="1"/>
    <col min="6927" max="6927" width="11.5" style="1287"/>
    <col min="6928" max="6930" width="11.75" style="1287" customWidth="1"/>
    <col min="6931" max="6935" width="9.75" style="1287" customWidth="1"/>
    <col min="6936" max="7168" width="11.5" style="1287"/>
    <col min="7169" max="7169" width="2.75" style="1287" customWidth="1"/>
    <col min="7170" max="7170" width="11.5" style="1287"/>
    <col min="7171" max="7171" width="12.5" style="1287" customWidth="1"/>
    <col min="7172" max="7179" width="11.5" style="1287"/>
    <col min="7180" max="7180" width="15.625" style="1287" customWidth="1"/>
    <col min="7181" max="7181" width="9.75" style="1287" customWidth="1"/>
    <col min="7182" max="7182" width="9.5" style="1287" customWidth="1"/>
    <col min="7183" max="7183" width="11.5" style="1287"/>
    <col min="7184" max="7186" width="11.75" style="1287" customWidth="1"/>
    <col min="7187" max="7191" width="9.75" style="1287" customWidth="1"/>
    <col min="7192" max="7424" width="11.5" style="1287"/>
    <col min="7425" max="7425" width="2.75" style="1287" customWidth="1"/>
    <col min="7426" max="7426" width="11.5" style="1287"/>
    <col min="7427" max="7427" width="12.5" style="1287" customWidth="1"/>
    <col min="7428" max="7435" width="11.5" style="1287"/>
    <col min="7436" max="7436" width="15.625" style="1287" customWidth="1"/>
    <col min="7437" max="7437" width="9.75" style="1287" customWidth="1"/>
    <col min="7438" max="7438" width="9.5" style="1287" customWidth="1"/>
    <col min="7439" max="7439" width="11.5" style="1287"/>
    <col min="7440" max="7442" width="11.75" style="1287" customWidth="1"/>
    <col min="7443" max="7447" width="9.75" style="1287" customWidth="1"/>
    <col min="7448" max="7680" width="11.5" style="1287"/>
    <col min="7681" max="7681" width="2.75" style="1287" customWidth="1"/>
    <col min="7682" max="7682" width="11.5" style="1287"/>
    <col min="7683" max="7683" width="12.5" style="1287" customWidth="1"/>
    <col min="7684" max="7691" width="11.5" style="1287"/>
    <col min="7692" max="7692" width="15.625" style="1287" customWidth="1"/>
    <col min="7693" max="7693" width="9.75" style="1287" customWidth="1"/>
    <col min="7694" max="7694" width="9.5" style="1287" customWidth="1"/>
    <col min="7695" max="7695" width="11.5" style="1287"/>
    <col min="7696" max="7698" width="11.75" style="1287" customWidth="1"/>
    <col min="7699" max="7703" width="9.75" style="1287" customWidth="1"/>
    <col min="7704" max="7936" width="11.5" style="1287"/>
    <col min="7937" max="7937" width="2.75" style="1287" customWidth="1"/>
    <col min="7938" max="7938" width="11.5" style="1287"/>
    <col min="7939" max="7939" width="12.5" style="1287" customWidth="1"/>
    <col min="7940" max="7947" width="11.5" style="1287"/>
    <col min="7948" max="7948" width="15.625" style="1287" customWidth="1"/>
    <col min="7949" max="7949" width="9.75" style="1287" customWidth="1"/>
    <col min="7950" max="7950" width="9.5" style="1287" customWidth="1"/>
    <col min="7951" max="7951" width="11.5" style="1287"/>
    <col min="7952" max="7954" width="11.75" style="1287" customWidth="1"/>
    <col min="7955" max="7959" width="9.75" style="1287" customWidth="1"/>
    <col min="7960" max="8192" width="11.5" style="1287"/>
    <col min="8193" max="8193" width="2.75" style="1287" customWidth="1"/>
    <col min="8194" max="8194" width="11.5" style="1287"/>
    <col min="8195" max="8195" width="12.5" style="1287" customWidth="1"/>
    <col min="8196" max="8203" width="11.5" style="1287"/>
    <col min="8204" max="8204" width="15.625" style="1287" customWidth="1"/>
    <col min="8205" max="8205" width="9.75" style="1287" customWidth="1"/>
    <col min="8206" max="8206" width="9.5" style="1287" customWidth="1"/>
    <col min="8207" max="8207" width="11.5" style="1287"/>
    <col min="8208" max="8210" width="11.75" style="1287" customWidth="1"/>
    <col min="8211" max="8215" width="9.75" style="1287" customWidth="1"/>
    <col min="8216" max="8448" width="11.5" style="1287"/>
    <col min="8449" max="8449" width="2.75" style="1287" customWidth="1"/>
    <col min="8450" max="8450" width="11.5" style="1287"/>
    <col min="8451" max="8451" width="12.5" style="1287" customWidth="1"/>
    <col min="8452" max="8459" width="11.5" style="1287"/>
    <col min="8460" max="8460" width="15.625" style="1287" customWidth="1"/>
    <col min="8461" max="8461" width="9.75" style="1287" customWidth="1"/>
    <col min="8462" max="8462" width="9.5" style="1287" customWidth="1"/>
    <col min="8463" max="8463" width="11.5" style="1287"/>
    <col min="8464" max="8466" width="11.75" style="1287" customWidth="1"/>
    <col min="8467" max="8471" width="9.75" style="1287" customWidth="1"/>
    <col min="8472" max="8704" width="11.5" style="1287"/>
    <col min="8705" max="8705" width="2.75" style="1287" customWidth="1"/>
    <col min="8706" max="8706" width="11.5" style="1287"/>
    <col min="8707" max="8707" width="12.5" style="1287" customWidth="1"/>
    <col min="8708" max="8715" width="11.5" style="1287"/>
    <col min="8716" max="8716" width="15.625" style="1287" customWidth="1"/>
    <col min="8717" max="8717" width="9.75" style="1287" customWidth="1"/>
    <col min="8718" max="8718" width="9.5" style="1287" customWidth="1"/>
    <col min="8719" max="8719" width="11.5" style="1287"/>
    <col min="8720" max="8722" width="11.75" style="1287" customWidth="1"/>
    <col min="8723" max="8727" width="9.75" style="1287" customWidth="1"/>
    <col min="8728" max="8960" width="11.5" style="1287"/>
    <col min="8961" max="8961" width="2.75" style="1287" customWidth="1"/>
    <col min="8962" max="8962" width="11.5" style="1287"/>
    <col min="8963" max="8963" width="12.5" style="1287" customWidth="1"/>
    <col min="8964" max="8971" width="11.5" style="1287"/>
    <col min="8972" max="8972" width="15.625" style="1287" customWidth="1"/>
    <col min="8973" max="8973" width="9.75" style="1287" customWidth="1"/>
    <col min="8974" max="8974" width="9.5" style="1287" customWidth="1"/>
    <col min="8975" max="8975" width="11.5" style="1287"/>
    <col min="8976" max="8978" width="11.75" style="1287" customWidth="1"/>
    <col min="8979" max="8983" width="9.75" style="1287" customWidth="1"/>
    <col min="8984" max="9216" width="11.5" style="1287"/>
    <col min="9217" max="9217" width="2.75" style="1287" customWidth="1"/>
    <col min="9218" max="9218" width="11.5" style="1287"/>
    <col min="9219" max="9219" width="12.5" style="1287" customWidth="1"/>
    <col min="9220" max="9227" width="11.5" style="1287"/>
    <col min="9228" max="9228" width="15.625" style="1287" customWidth="1"/>
    <col min="9229" max="9229" width="9.75" style="1287" customWidth="1"/>
    <col min="9230" max="9230" width="9.5" style="1287" customWidth="1"/>
    <col min="9231" max="9231" width="11.5" style="1287"/>
    <col min="9232" max="9234" width="11.75" style="1287" customWidth="1"/>
    <col min="9235" max="9239" width="9.75" style="1287" customWidth="1"/>
    <col min="9240" max="9472" width="11.5" style="1287"/>
    <col min="9473" max="9473" width="2.75" style="1287" customWidth="1"/>
    <col min="9474" max="9474" width="11.5" style="1287"/>
    <col min="9475" max="9475" width="12.5" style="1287" customWidth="1"/>
    <col min="9476" max="9483" width="11.5" style="1287"/>
    <col min="9484" max="9484" width="15.625" style="1287" customWidth="1"/>
    <col min="9485" max="9485" width="9.75" style="1287" customWidth="1"/>
    <col min="9486" max="9486" width="9.5" style="1287" customWidth="1"/>
    <col min="9487" max="9487" width="11.5" style="1287"/>
    <col min="9488" max="9490" width="11.75" style="1287" customWidth="1"/>
    <col min="9491" max="9495" width="9.75" style="1287" customWidth="1"/>
    <col min="9496" max="9728" width="11.5" style="1287"/>
    <col min="9729" max="9729" width="2.75" style="1287" customWidth="1"/>
    <col min="9730" max="9730" width="11.5" style="1287"/>
    <col min="9731" max="9731" width="12.5" style="1287" customWidth="1"/>
    <col min="9732" max="9739" width="11.5" style="1287"/>
    <col min="9740" max="9740" width="15.625" style="1287" customWidth="1"/>
    <col min="9741" max="9741" width="9.75" style="1287" customWidth="1"/>
    <col min="9742" max="9742" width="9.5" style="1287" customWidth="1"/>
    <col min="9743" max="9743" width="11.5" style="1287"/>
    <col min="9744" max="9746" width="11.75" style="1287" customWidth="1"/>
    <col min="9747" max="9751" width="9.75" style="1287" customWidth="1"/>
    <col min="9752" max="9984" width="11.5" style="1287"/>
    <col min="9985" max="9985" width="2.75" style="1287" customWidth="1"/>
    <col min="9986" max="9986" width="11.5" style="1287"/>
    <col min="9987" max="9987" width="12.5" style="1287" customWidth="1"/>
    <col min="9988" max="9995" width="11.5" style="1287"/>
    <col min="9996" max="9996" width="15.625" style="1287" customWidth="1"/>
    <col min="9997" max="9997" width="9.75" style="1287" customWidth="1"/>
    <col min="9998" max="9998" width="9.5" style="1287" customWidth="1"/>
    <col min="9999" max="9999" width="11.5" style="1287"/>
    <col min="10000" max="10002" width="11.75" style="1287" customWidth="1"/>
    <col min="10003" max="10007" width="9.75" style="1287" customWidth="1"/>
    <col min="10008" max="10240" width="11.5" style="1287"/>
    <col min="10241" max="10241" width="2.75" style="1287" customWidth="1"/>
    <col min="10242" max="10242" width="11.5" style="1287"/>
    <col min="10243" max="10243" width="12.5" style="1287" customWidth="1"/>
    <col min="10244" max="10251" width="11.5" style="1287"/>
    <col min="10252" max="10252" width="15.625" style="1287" customWidth="1"/>
    <col min="10253" max="10253" width="9.75" style="1287" customWidth="1"/>
    <col min="10254" max="10254" width="9.5" style="1287" customWidth="1"/>
    <col min="10255" max="10255" width="11.5" style="1287"/>
    <col min="10256" max="10258" width="11.75" style="1287" customWidth="1"/>
    <col min="10259" max="10263" width="9.75" style="1287" customWidth="1"/>
    <col min="10264" max="10496" width="11.5" style="1287"/>
    <col min="10497" max="10497" width="2.75" style="1287" customWidth="1"/>
    <col min="10498" max="10498" width="11.5" style="1287"/>
    <col min="10499" max="10499" width="12.5" style="1287" customWidth="1"/>
    <col min="10500" max="10507" width="11.5" style="1287"/>
    <col min="10508" max="10508" width="15.625" style="1287" customWidth="1"/>
    <col min="10509" max="10509" width="9.75" style="1287" customWidth="1"/>
    <col min="10510" max="10510" width="9.5" style="1287" customWidth="1"/>
    <col min="10511" max="10511" width="11.5" style="1287"/>
    <col min="10512" max="10514" width="11.75" style="1287" customWidth="1"/>
    <col min="10515" max="10519" width="9.75" style="1287" customWidth="1"/>
    <col min="10520" max="10752" width="11.5" style="1287"/>
    <col min="10753" max="10753" width="2.75" style="1287" customWidth="1"/>
    <col min="10754" max="10754" width="11.5" style="1287"/>
    <col min="10755" max="10755" width="12.5" style="1287" customWidth="1"/>
    <col min="10756" max="10763" width="11.5" style="1287"/>
    <col min="10764" max="10764" width="15.625" style="1287" customWidth="1"/>
    <col min="10765" max="10765" width="9.75" style="1287" customWidth="1"/>
    <col min="10766" max="10766" width="9.5" style="1287" customWidth="1"/>
    <col min="10767" max="10767" width="11.5" style="1287"/>
    <col min="10768" max="10770" width="11.75" style="1287" customWidth="1"/>
    <col min="10771" max="10775" width="9.75" style="1287" customWidth="1"/>
    <col min="10776" max="11008" width="11.5" style="1287"/>
    <col min="11009" max="11009" width="2.75" style="1287" customWidth="1"/>
    <col min="11010" max="11010" width="11.5" style="1287"/>
    <col min="11011" max="11011" width="12.5" style="1287" customWidth="1"/>
    <col min="11012" max="11019" width="11.5" style="1287"/>
    <col min="11020" max="11020" width="15.625" style="1287" customWidth="1"/>
    <col min="11021" max="11021" width="9.75" style="1287" customWidth="1"/>
    <col min="11022" max="11022" width="9.5" style="1287" customWidth="1"/>
    <col min="11023" max="11023" width="11.5" style="1287"/>
    <col min="11024" max="11026" width="11.75" style="1287" customWidth="1"/>
    <col min="11027" max="11031" width="9.75" style="1287" customWidth="1"/>
    <col min="11032" max="11264" width="11.5" style="1287"/>
    <col min="11265" max="11265" width="2.75" style="1287" customWidth="1"/>
    <col min="11266" max="11266" width="11.5" style="1287"/>
    <col min="11267" max="11267" width="12.5" style="1287" customWidth="1"/>
    <col min="11268" max="11275" width="11.5" style="1287"/>
    <col min="11276" max="11276" width="15.625" style="1287" customWidth="1"/>
    <col min="11277" max="11277" width="9.75" style="1287" customWidth="1"/>
    <col min="11278" max="11278" width="9.5" style="1287" customWidth="1"/>
    <col min="11279" max="11279" width="11.5" style="1287"/>
    <col min="11280" max="11282" width="11.75" style="1287" customWidth="1"/>
    <col min="11283" max="11287" width="9.75" style="1287" customWidth="1"/>
    <col min="11288" max="11520" width="11.5" style="1287"/>
    <col min="11521" max="11521" width="2.75" style="1287" customWidth="1"/>
    <col min="11522" max="11522" width="11.5" style="1287"/>
    <col min="11523" max="11523" width="12.5" style="1287" customWidth="1"/>
    <col min="11524" max="11531" width="11.5" style="1287"/>
    <col min="11532" max="11532" width="15.625" style="1287" customWidth="1"/>
    <col min="11533" max="11533" width="9.75" style="1287" customWidth="1"/>
    <col min="11534" max="11534" width="9.5" style="1287" customWidth="1"/>
    <col min="11535" max="11535" width="11.5" style="1287"/>
    <col min="11536" max="11538" width="11.75" style="1287" customWidth="1"/>
    <col min="11539" max="11543" width="9.75" style="1287" customWidth="1"/>
    <col min="11544" max="11776" width="11.5" style="1287"/>
    <col min="11777" max="11777" width="2.75" style="1287" customWidth="1"/>
    <col min="11778" max="11778" width="11.5" style="1287"/>
    <col min="11779" max="11779" width="12.5" style="1287" customWidth="1"/>
    <col min="11780" max="11787" width="11.5" style="1287"/>
    <col min="11788" max="11788" width="15.625" style="1287" customWidth="1"/>
    <col min="11789" max="11789" width="9.75" style="1287" customWidth="1"/>
    <col min="11790" max="11790" width="9.5" style="1287" customWidth="1"/>
    <col min="11791" max="11791" width="11.5" style="1287"/>
    <col min="11792" max="11794" width="11.75" style="1287" customWidth="1"/>
    <col min="11795" max="11799" width="9.75" style="1287" customWidth="1"/>
    <col min="11800" max="12032" width="11.5" style="1287"/>
    <col min="12033" max="12033" width="2.75" style="1287" customWidth="1"/>
    <col min="12034" max="12034" width="11.5" style="1287"/>
    <col min="12035" max="12035" width="12.5" style="1287" customWidth="1"/>
    <col min="12036" max="12043" width="11.5" style="1287"/>
    <col min="12044" max="12044" width="15.625" style="1287" customWidth="1"/>
    <col min="12045" max="12045" width="9.75" style="1287" customWidth="1"/>
    <col min="12046" max="12046" width="9.5" style="1287" customWidth="1"/>
    <col min="12047" max="12047" width="11.5" style="1287"/>
    <col min="12048" max="12050" width="11.75" style="1287" customWidth="1"/>
    <col min="12051" max="12055" width="9.75" style="1287" customWidth="1"/>
    <col min="12056" max="12288" width="11.5" style="1287"/>
    <col min="12289" max="12289" width="2.75" style="1287" customWidth="1"/>
    <col min="12290" max="12290" width="11.5" style="1287"/>
    <col min="12291" max="12291" width="12.5" style="1287" customWidth="1"/>
    <col min="12292" max="12299" width="11.5" style="1287"/>
    <col min="12300" max="12300" width="15.625" style="1287" customWidth="1"/>
    <col min="12301" max="12301" width="9.75" style="1287" customWidth="1"/>
    <col min="12302" max="12302" width="9.5" style="1287" customWidth="1"/>
    <col min="12303" max="12303" width="11.5" style="1287"/>
    <col min="12304" max="12306" width="11.75" style="1287" customWidth="1"/>
    <col min="12307" max="12311" width="9.75" style="1287" customWidth="1"/>
    <col min="12312" max="12544" width="11.5" style="1287"/>
    <col min="12545" max="12545" width="2.75" style="1287" customWidth="1"/>
    <col min="12546" max="12546" width="11.5" style="1287"/>
    <col min="12547" max="12547" width="12.5" style="1287" customWidth="1"/>
    <col min="12548" max="12555" width="11.5" style="1287"/>
    <col min="12556" max="12556" width="15.625" style="1287" customWidth="1"/>
    <col min="12557" max="12557" width="9.75" style="1287" customWidth="1"/>
    <col min="12558" max="12558" width="9.5" style="1287" customWidth="1"/>
    <col min="12559" max="12559" width="11.5" style="1287"/>
    <col min="12560" max="12562" width="11.75" style="1287" customWidth="1"/>
    <col min="12563" max="12567" width="9.75" style="1287" customWidth="1"/>
    <col min="12568" max="12800" width="11.5" style="1287"/>
    <col min="12801" max="12801" width="2.75" style="1287" customWidth="1"/>
    <col min="12802" max="12802" width="11.5" style="1287"/>
    <col min="12803" max="12803" width="12.5" style="1287" customWidth="1"/>
    <col min="12804" max="12811" width="11.5" style="1287"/>
    <col min="12812" max="12812" width="15.625" style="1287" customWidth="1"/>
    <col min="12813" max="12813" width="9.75" style="1287" customWidth="1"/>
    <col min="12814" max="12814" width="9.5" style="1287" customWidth="1"/>
    <col min="12815" max="12815" width="11.5" style="1287"/>
    <col min="12816" max="12818" width="11.75" style="1287" customWidth="1"/>
    <col min="12819" max="12823" width="9.75" style="1287" customWidth="1"/>
    <col min="12824" max="13056" width="11.5" style="1287"/>
    <col min="13057" max="13057" width="2.75" style="1287" customWidth="1"/>
    <col min="13058" max="13058" width="11.5" style="1287"/>
    <col min="13059" max="13059" width="12.5" style="1287" customWidth="1"/>
    <col min="13060" max="13067" width="11.5" style="1287"/>
    <col min="13068" max="13068" width="15.625" style="1287" customWidth="1"/>
    <col min="13069" max="13069" width="9.75" style="1287" customWidth="1"/>
    <col min="13070" max="13070" width="9.5" style="1287" customWidth="1"/>
    <col min="13071" max="13071" width="11.5" style="1287"/>
    <col min="13072" max="13074" width="11.75" style="1287" customWidth="1"/>
    <col min="13075" max="13079" width="9.75" style="1287" customWidth="1"/>
    <col min="13080" max="13312" width="11.5" style="1287"/>
    <col min="13313" max="13313" width="2.75" style="1287" customWidth="1"/>
    <col min="13314" max="13314" width="11.5" style="1287"/>
    <col min="13315" max="13315" width="12.5" style="1287" customWidth="1"/>
    <col min="13316" max="13323" width="11.5" style="1287"/>
    <col min="13324" max="13324" width="15.625" style="1287" customWidth="1"/>
    <col min="13325" max="13325" width="9.75" style="1287" customWidth="1"/>
    <col min="13326" max="13326" width="9.5" style="1287" customWidth="1"/>
    <col min="13327" max="13327" width="11.5" style="1287"/>
    <col min="13328" max="13330" width="11.75" style="1287" customWidth="1"/>
    <col min="13331" max="13335" width="9.75" style="1287" customWidth="1"/>
    <col min="13336" max="13568" width="11.5" style="1287"/>
    <col min="13569" max="13569" width="2.75" style="1287" customWidth="1"/>
    <col min="13570" max="13570" width="11.5" style="1287"/>
    <col min="13571" max="13571" width="12.5" style="1287" customWidth="1"/>
    <col min="13572" max="13579" width="11.5" style="1287"/>
    <col min="13580" max="13580" width="15.625" style="1287" customWidth="1"/>
    <col min="13581" max="13581" width="9.75" style="1287" customWidth="1"/>
    <col min="13582" max="13582" width="9.5" style="1287" customWidth="1"/>
    <col min="13583" max="13583" width="11.5" style="1287"/>
    <col min="13584" max="13586" width="11.75" style="1287" customWidth="1"/>
    <col min="13587" max="13591" width="9.75" style="1287" customWidth="1"/>
    <col min="13592" max="13824" width="11.5" style="1287"/>
    <col min="13825" max="13825" width="2.75" style="1287" customWidth="1"/>
    <col min="13826" max="13826" width="11.5" style="1287"/>
    <col min="13827" max="13827" width="12.5" style="1287" customWidth="1"/>
    <col min="13828" max="13835" width="11.5" style="1287"/>
    <col min="13836" max="13836" width="15.625" style="1287" customWidth="1"/>
    <col min="13837" max="13837" width="9.75" style="1287" customWidth="1"/>
    <col min="13838" max="13838" width="9.5" style="1287" customWidth="1"/>
    <col min="13839" max="13839" width="11.5" style="1287"/>
    <col min="13840" max="13842" width="11.75" style="1287" customWidth="1"/>
    <col min="13843" max="13847" width="9.75" style="1287" customWidth="1"/>
    <col min="13848" max="14080" width="11.5" style="1287"/>
    <col min="14081" max="14081" width="2.75" style="1287" customWidth="1"/>
    <col min="14082" max="14082" width="11.5" style="1287"/>
    <col min="14083" max="14083" width="12.5" style="1287" customWidth="1"/>
    <col min="14084" max="14091" width="11.5" style="1287"/>
    <col min="14092" max="14092" width="15.625" style="1287" customWidth="1"/>
    <col min="14093" max="14093" width="9.75" style="1287" customWidth="1"/>
    <col min="14094" max="14094" width="9.5" style="1287" customWidth="1"/>
    <col min="14095" max="14095" width="11.5" style="1287"/>
    <col min="14096" max="14098" width="11.75" style="1287" customWidth="1"/>
    <col min="14099" max="14103" width="9.75" style="1287" customWidth="1"/>
    <col min="14104" max="14336" width="11.5" style="1287"/>
    <col min="14337" max="14337" width="2.75" style="1287" customWidth="1"/>
    <col min="14338" max="14338" width="11.5" style="1287"/>
    <col min="14339" max="14339" width="12.5" style="1287" customWidth="1"/>
    <col min="14340" max="14347" width="11.5" style="1287"/>
    <col min="14348" max="14348" width="15.625" style="1287" customWidth="1"/>
    <col min="14349" max="14349" width="9.75" style="1287" customWidth="1"/>
    <col min="14350" max="14350" width="9.5" style="1287" customWidth="1"/>
    <col min="14351" max="14351" width="11.5" style="1287"/>
    <col min="14352" max="14354" width="11.75" style="1287" customWidth="1"/>
    <col min="14355" max="14359" width="9.75" style="1287" customWidth="1"/>
    <col min="14360" max="14592" width="11.5" style="1287"/>
    <col min="14593" max="14593" width="2.75" style="1287" customWidth="1"/>
    <col min="14594" max="14594" width="11.5" style="1287"/>
    <col min="14595" max="14595" width="12.5" style="1287" customWidth="1"/>
    <col min="14596" max="14603" width="11.5" style="1287"/>
    <col min="14604" max="14604" width="15.625" style="1287" customWidth="1"/>
    <col min="14605" max="14605" width="9.75" style="1287" customWidth="1"/>
    <col min="14606" max="14606" width="9.5" style="1287" customWidth="1"/>
    <col min="14607" max="14607" width="11.5" style="1287"/>
    <col min="14608" max="14610" width="11.75" style="1287" customWidth="1"/>
    <col min="14611" max="14615" width="9.75" style="1287" customWidth="1"/>
    <col min="14616" max="14848" width="11.5" style="1287"/>
    <col min="14849" max="14849" width="2.75" style="1287" customWidth="1"/>
    <col min="14850" max="14850" width="11.5" style="1287"/>
    <col min="14851" max="14851" width="12.5" style="1287" customWidth="1"/>
    <col min="14852" max="14859" width="11.5" style="1287"/>
    <col min="14860" max="14860" width="15.625" style="1287" customWidth="1"/>
    <col min="14861" max="14861" width="9.75" style="1287" customWidth="1"/>
    <col min="14862" max="14862" width="9.5" style="1287" customWidth="1"/>
    <col min="14863" max="14863" width="11.5" style="1287"/>
    <col min="14864" max="14866" width="11.75" style="1287" customWidth="1"/>
    <col min="14867" max="14871" width="9.75" style="1287" customWidth="1"/>
    <col min="14872" max="15104" width="11.5" style="1287"/>
    <col min="15105" max="15105" width="2.75" style="1287" customWidth="1"/>
    <col min="15106" max="15106" width="11.5" style="1287"/>
    <col min="15107" max="15107" width="12.5" style="1287" customWidth="1"/>
    <col min="15108" max="15115" width="11.5" style="1287"/>
    <col min="15116" max="15116" width="15.625" style="1287" customWidth="1"/>
    <col min="15117" max="15117" width="9.75" style="1287" customWidth="1"/>
    <col min="15118" max="15118" width="9.5" style="1287" customWidth="1"/>
    <col min="15119" max="15119" width="11.5" style="1287"/>
    <col min="15120" max="15122" width="11.75" style="1287" customWidth="1"/>
    <col min="15123" max="15127" width="9.75" style="1287" customWidth="1"/>
    <col min="15128" max="15360" width="11.5" style="1287"/>
    <col min="15361" max="15361" width="2.75" style="1287" customWidth="1"/>
    <col min="15362" max="15362" width="11.5" style="1287"/>
    <col min="15363" max="15363" width="12.5" style="1287" customWidth="1"/>
    <col min="15364" max="15371" width="11.5" style="1287"/>
    <col min="15372" max="15372" width="15.625" style="1287" customWidth="1"/>
    <col min="15373" max="15373" width="9.75" style="1287" customWidth="1"/>
    <col min="15374" max="15374" width="9.5" style="1287" customWidth="1"/>
    <col min="15375" max="15375" width="11.5" style="1287"/>
    <col min="15376" max="15378" width="11.75" style="1287" customWidth="1"/>
    <col min="15379" max="15383" width="9.75" style="1287" customWidth="1"/>
    <col min="15384" max="15616" width="11.5" style="1287"/>
    <col min="15617" max="15617" width="2.75" style="1287" customWidth="1"/>
    <col min="15618" max="15618" width="11.5" style="1287"/>
    <col min="15619" max="15619" width="12.5" style="1287" customWidth="1"/>
    <col min="15620" max="15627" width="11.5" style="1287"/>
    <col min="15628" max="15628" width="15.625" style="1287" customWidth="1"/>
    <col min="15629" max="15629" width="9.75" style="1287" customWidth="1"/>
    <col min="15630" max="15630" width="9.5" style="1287" customWidth="1"/>
    <col min="15631" max="15631" width="11.5" style="1287"/>
    <col min="15632" max="15634" width="11.75" style="1287" customWidth="1"/>
    <col min="15635" max="15639" width="9.75" style="1287" customWidth="1"/>
    <col min="15640" max="15872" width="11.5" style="1287"/>
    <col min="15873" max="15873" width="2.75" style="1287" customWidth="1"/>
    <col min="15874" max="15874" width="11.5" style="1287"/>
    <col min="15875" max="15875" width="12.5" style="1287" customWidth="1"/>
    <col min="15876" max="15883" width="11.5" style="1287"/>
    <col min="15884" max="15884" width="15.625" style="1287" customWidth="1"/>
    <col min="15885" max="15885" width="9.75" style="1287" customWidth="1"/>
    <col min="15886" max="15886" width="9.5" style="1287" customWidth="1"/>
    <col min="15887" max="15887" width="11.5" style="1287"/>
    <col min="15888" max="15890" width="11.75" style="1287" customWidth="1"/>
    <col min="15891" max="15895" width="9.75" style="1287" customWidth="1"/>
    <col min="15896" max="16128" width="11.5" style="1287"/>
    <col min="16129" max="16129" width="2.75" style="1287" customWidth="1"/>
    <col min="16130" max="16130" width="11.5" style="1287"/>
    <col min="16131" max="16131" width="12.5" style="1287" customWidth="1"/>
    <col min="16132" max="16139" width="11.5" style="1287"/>
    <col min="16140" max="16140" width="15.625" style="1287" customWidth="1"/>
    <col min="16141" max="16141" width="9.75" style="1287" customWidth="1"/>
    <col min="16142" max="16142" width="9.5" style="1287" customWidth="1"/>
    <col min="16143" max="16143" width="11.5" style="1287"/>
    <col min="16144" max="16146" width="11.75" style="1287" customWidth="1"/>
    <col min="16147" max="16151" width="9.75" style="1287" customWidth="1"/>
    <col min="16152" max="16384" width="11.5" style="1287"/>
  </cols>
  <sheetData>
    <row r="1" spans="1:37" s="595" customFormat="1" ht="31.7" customHeight="1" x14ac:dyDescent="0.25">
      <c r="B1" s="575"/>
      <c r="C1" s="597"/>
      <c r="E1" s="663" t="str">
        <f>Startmenue!G2</f>
        <v>Version 1.2</v>
      </c>
      <c r="G1" s="597"/>
      <c r="U1" s="597"/>
      <c r="AE1" s="597"/>
      <c r="AJ1" s="597"/>
      <c r="AK1" s="597"/>
    </row>
    <row r="2" spans="1:37" s="664" customFormat="1" ht="2.85" customHeight="1" x14ac:dyDescent="0.2">
      <c r="C2" s="665">
        <f>COLUMNS($C2:C2)</f>
        <v>1</v>
      </c>
      <c r="D2" s="665">
        <f>COLUMNS($C2:D2)</f>
        <v>2</v>
      </c>
      <c r="E2" s="665">
        <f>COLUMNS($C2:E2)</f>
        <v>3</v>
      </c>
      <c r="F2" s="665">
        <f>COLUMNS($C2:F2)</f>
        <v>4</v>
      </c>
      <c r="G2" s="665">
        <f>COLUMNS($C2:G2)</f>
        <v>5</v>
      </c>
      <c r="H2" s="665">
        <f>COLUMNS($C2:H2)</f>
        <v>6</v>
      </c>
      <c r="I2" s="665">
        <f>COLUMNS($C2:I2)</f>
        <v>7</v>
      </c>
      <c r="J2" s="665">
        <f>COLUMNS($C2:J2)</f>
        <v>8</v>
      </c>
      <c r="K2" s="665">
        <f>COLUMNS($C2:K2)</f>
        <v>9</v>
      </c>
      <c r="L2" s="665">
        <f>COLUMNS($C2:L2)</f>
        <v>10</v>
      </c>
      <c r="M2" s="665">
        <f>COLUMNS($C2:M2)</f>
        <v>11</v>
      </c>
    </row>
    <row r="3" spans="1:37" ht="0.75" customHeight="1" x14ac:dyDescent="0.2">
      <c r="O3" s="666"/>
    </row>
    <row r="4" spans="1:37" ht="0.75" customHeight="1" x14ac:dyDescent="0.2"/>
    <row r="5" spans="1:37" ht="14.25" x14ac:dyDescent="0.2">
      <c r="B5" s="1286" t="s">
        <v>4368</v>
      </c>
      <c r="C5" s="1286"/>
      <c r="D5" s="2001" t="s">
        <v>4616</v>
      </c>
      <c r="E5" s="2002"/>
      <c r="F5" s="2002"/>
      <c r="G5" s="2002"/>
      <c r="H5" s="2002"/>
      <c r="I5" s="2002"/>
      <c r="J5" s="2003"/>
    </row>
    <row r="6" spans="1:37" ht="14.25" x14ac:dyDescent="0.2">
      <c r="B6" s="1286" t="s">
        <v>4369</v>
      </c>
      <c r="C6" s="1286"/>
      <c r="D6" s="1286" t="s">
        <v>4617</v>
      </c>
      <c r="E6" s="1286"/>
    </row>
    <row r="7" spans="1:37" ht="14.25" x14ac:dyDescent="0.2">
      <c r="B7" s="1286"/>
      <c r="C7" s="1286"/>
      <c r="D7" s="1286" t="s">
        <v>3321</v>
      </c>
      <c r="E7" s="1286"/>
    </row>
    <row r="8" spans="1:37" ht="13.7" x14ac:dyDescent="0.2">
      <c r="B8" s="1286"/>
      <c r="C8" s="1286"/>
      <c r="D8" s="1286" t="s">
        <v>4618</v>
      </c>
      <c r="E8" s="1286"/>
    </row>
    <row r="9" spans="1:37" ht="0.75" customHeight="1" x14ac:dyDescent="0.2">
      <c r="B9" s="1286"/>
      <c r="C9" s="1286"/>
      <c r="D9" s="1286"/>
      <c r="E9" s="1286"/>
    </row>
    <row r="10" spans="1:37" ht="0.75" customHeight="1" x14ac:dyDescent="0.2"/>
    <row r="11" spans="1:37" ht="0.75" customHeight="1" x14ac:dyDescent="0.2"/>
    <row r="12" spans="1:37" ht="0.75" customHeight="1" x14ac:dyDescent="0.2">
      <c r="B12" s="1304"/>
      <c r="C12" s="1304"/>
      <c r="D12" s="1304"/>
      <c r="E12" s="1304"/>
      <c r="F12" s="1304"/>
      <c r="G12" s="1304"/>
      <c r="H12" s="1304"/>
      <c r="I12" s="1304"/>
      <c r="J12" s="1304"/>
      <c r="K12" s="1304"/>
      <c r="L12" s="1304"/>
      <c r="M12" s="1338"/>
    </row>
    <row r="13" spans="1:37" s="1446" customFormat="1" x14ac:dyDescent="0.2">
      <c r="A13" s="1442"/>
      <c r="B13" s="1443"/>
      <c r="C13" s="2004" t="s">
        <v>4621</v>
      </c>
      <c r="D13" s="2005"/>
      <c r="E13" s="2005"/>
      <c r="F13" s="2005"/>
      <c r="G13" s="2005"/>
      <c r="H13" s="2005"/>
      <c r="I13" s="2005"/>
      <c r="J13" s="2005"/>
      <c r="K13" s="2005"/>
      <c r="L13" s="2005"/>
      <c r="M13" s="1444"/>
      <c r="N13" s="1445"/>
    </row>
    <row r="14" spans="1:37" s="1446" customFormat="1" ht="12.95" x14ac:dyDescent="0.2">
      <c r="A14" s="1442"/>
      <c r="B14" s="1447"/>
      <c r="C14" s="2006" t="s">
        <v>2255</v>
      </c>
      <c r="D14" s="2006"/>
      <c r="E14" s="2006" t="s">
        <v>3322</v>
      </c>
      <c r="F14" s="2006"/>
      <c r="G14" s="2006" t="s">
        <v>3323</v>
      </c>
      <c r="H14" s="2006"/>
      <c r="I14" s="2006" t="s">
        <v>3324</v>
      </c>
      <c r="J14" s="2006"/>
      <c r="K14" s="2006" t="s">
        <v>3325</v>
      </c>
      <c r="L14" s="2006"/>
      <c r="M14" s="1448"/>
      <c r="N14" s="1445"/>
    </row>
    <row r="15" spans="1:37" s="1461" customFormat="1" ht="2.1" customHeight="1" x14ac:dyDescent="0.2">
      <c r="A15" s="1459"/>
      <c r="B15" s="1460"/>
      <c r="D15" s="1462">
        <v>1</v>
      </c>
      <c r="E15" s="1462"/>
      <c r="F15" s="1462">
        <v>2</v>
      </c>
      <c r="G15" s="1462"/>
      <c r="H15" s="1462">
        <v>3</v>
      </c>
      <c r="I15" s="1462"/>
      <c r="J15" s="1462">
        <v>4</v>
      </c>
      <c r="K15" s="1462"/>
      <c r="L15" s="1462">
        <v>5</v>
      </c>
      <c r="M15" s="1458"/>
      <c r="N15" s="1463"/>
    </row>
    <row r="16" spans="1:37" s="1446" customFormat="1" ht="12.95" x14ac:dyDescent="0.2">
      <c r="A16" s="1442"/>
      <c r="B16" s="1447" t="s">
        <v>3326</v>
      </c>
      <c r="C16" s="1449" t="s">
        <v>3327</v>
      </c>
      <c r="D16" s="1450" t="s">
        <v>3328</v>
      </c>
      <c r="E16" s="1449" t="s">
        <v>3327</v>
      </c>
      <c r="F16" s="1450" t="s">
        <v>3328</v>
      </c>
      <c r="G16" s="1449" t="s">
        <v>3327</v>
      </c>
      <c r="H16" s="1450" t="s">
        <v>3328</v>
      </c>
      <c r="I16" s="1449" t="s">
        <v>3327</v>
      </c>
      <c r="J16" s="1450" t="s">
        <v>3328</v>
      </c>
      <c r="K16" s="1449" t="s">
        <v>3327</v>
      </c>
      <c r="L16" s="1450" t="s">
        <v>3328</v>
      </c>
      <c r="M16" s="1448" t="s">
        <v>3329</v>
      </c>
      <c r="N16" s="1445"/>
    </row>
    <row r="17" spans="1:14" ht="12.95" x14ac:dyDescent="0.2">
      <c r="A17" s="1293"/>
      <c r="B17" s="1297"/>
      <c r="M17" s="1298"/>
      <c r="N17" s="1296"/>
    </row>
    <row r="18" spans="1:14" ht="12.95" x14ac:dyDescent="0.2">
      <c r="A18" s="1293"/>
      <c r="B18" s="1297"/>
      <c r="M18" s="1298"/>
      <c r="N18" s="1296"/>
    </row>
    <row r="19" spans="1:14" ht="12.95" x14ac:dyDescent="0.2">
      <c r="A19" s="1293"/>
      <c r="B19" s="1297"/>
      <c r="C19" s="668">
        <v>1</v>
      </c>
      <c r="D19" s="668">
        <v>30</v>
      </c>
      <c r="E19" s="668">
        <v>1</v>
      </c>
      <c r="F19" s="668">
        <v>40</v>
      </c>
      <c r="G19" s="668">
        <v>1</v>
      </c>
      <c r="H19" s="668">
        <v>50</v>
      </c>
      <c r="I19" s="668">
        <v>1</v>
      </c>
      <c r="J19" s="668">
        <v>57</v>
      </c>
      <c r="K19" s="668">
        <v>1</v>
      </c>
      <c r="L19" s="668">
        <v>68</v>
      </c>
      <c r="M19" s="1298" t="s">
        <v>3330</v>
      </c>
      <c r="N19" s="1296"/>
    </row>
    <row r="20" spans="1:14" ht="12.95" x14ac:dyDescent="0.2">
      <c r="A20" s="1293"/>
      <c r="B20" s="1300" t="s">
        <v>3330</v>
      </c>
      <c r="C20" s="669" t="s">
        <v>3331</v>
      </c>
      <c r="D20" s="670">
        <v>30</v>
      </c>
      <c r="E20" s="669" t="s">
        <v>3332</v>
      </c>
      <c r="F20" s="670">
        <v>40</v>
      </c>
      <c r="G20" s="669" t="s">
        <v>3333</v>
      </c>
      <c r="H20" s="670">
        <v>50</v>
      </c>
      <c r="I20" s="669" t="s">
        <v>3334</v>
      </c>
      <c r="J20" s="670">
        <v>57</v>
      </c>
      <c r="K20" s="669" t="s">
        <v>3334</v>
      </c>
      <c r="L20" s="670">
        <v>68</v>
      </c>
      <c r="M20" s="1298" t="s">
        <v>3330</v>
      </c>
      <c r="N20" s="1296"/>
    </row>
    <row r="21" spans="1:14" ht="12.95" x14ac:dyDescent="0.2">
      <c r="A21" s="1293"/>
      <c r="B21" s="1297"/>
      <c r="C21" s="669">
        <v>3.6</v>
      </c>
      <c r="D21" s="670">
        <v>28</v>
      </c>
      <c r="E21" s="669">
        <v>3.9</v>
      </c>
      <c r="F21" s="670">
        <v>37</v>
      </c>
      <c r="G21" s="669">
        <v>4.0999999999999996</v>
      </c>
      <c r="H21" s="670">
        <v>47</v>
      </c>
      <c r="I21" s="669">
        <v>4.3</v>
      </c>
      <c r="J21" s="670">
        <v>54</v>
      </c>
      <c r="K21" s="669">
        <v>4.3</v>
      </c>
      <c r="L21" s="670">
        <v>63</v>
      </c>
      <c r="M21" s="1298" t="s">
        <v>3330</v>
      </c>
      <c r="N21" s="1296"/>
    </row>
    <row r="22" spans="1:14" ht="12.95" x14ac:dyDescent="0.2">
      <c r="A22" s="1293"/>
      <c r="B22" s="1297"/>
      <c r="C22" s="669">
        <v>3.7</v>
      </c>
      <c r="D22" s="670">
        <v>25</v>
      </c>
      <c r="E22" s="669">
        <v>4</v>
      </c>
      <c r="F22" s="670">
        <v>35</v>
      </c>
      <c r="G22" s="669">
        <v>4.2</v>
      </c>
      <c r="H22" s="670">
        <v>43</v>
      </c>
      <c r="I22" s="669">
        <v>4.4000000000000004</v>
      </c>
      <c r="J22" s="670">
        <v>50</v>
      </c>
      <c r="K22" s="669">
        <v>4.4000000000000004</v>
      </c>
      <c r="L22" s="670">
        <v>59</v>
      </c>
      <c r="M22" s="1298" t="s">
        <v>3330</v>
      </c>
      <c r="N22" s="1296"/>
    </row>
    <row r="23" spans="1:14" x14ac:dyDescent="0.2">
      <c r="A23" s="1293"/>
      <c r="B23" s="1297"/>
      <c r="C23" s="669">
        <v>3.8</v>
      </c>
      <c r="D23" s="670">
        <v>23</v>
      </c>
      <c r="E23" s="669">
        <v>4.0999999999999996</v>
      </c>
      <c r="F23" s="670">
        <v>32</v>
      </c>
      <c r="G23" s="669">
        <v>4.3</v>
      </c>
      <c r="H23" s="670">
        <v>40</v>
      </c>
      <c r="I23" s="669">
        <v>4.5</v>
      </c>
      <c r="J23" s="670">
        <v>45</v>
      </c>
      <c r="K23" s="669">
        <v>4.5</v>
      </c>
      <c r="L23" s="670">
        <v>55</v>
      </c>
      <c r="M23" s="1298" t="s">
        <v>3330</v>
      </c>
      <c r="N23" s="1296"/>
    </row>
    <row r="24" spans="1:14" x14ac:dyDescent="0.2">
      <c r="A24" s="1293"/>
      <c r="B24" s="1297"/>
      <c r="C24" s="669">
        <v>3.9</v>
      </c>
      <c r="D24" s="670">
        <v>21</v>
      </c>
      <c r="E24" s="669">
        <v>4.2</v>
      </c>
      <c r="F24" s="670">
        <v>29</v>
      </c>
      <c r="G24" s="669">
        <v>4.4000000000000004</v>
      </c>
      <c r="H24" s="670">
        <v>37</v>
      </c>
      <c r="I24" s="669">
        <v>4.5999999999999996</v>
      </c>
      <c r="J24" s="670">
        <v>42</v>
      </c>
      <c r="K24" s="669">
        <v>4.5999999999999996</v>
      </c>
      <c r="L24" s="670">
        <v>51</v>
      </c>
      <c r="M24" s="1298" t="s">
        <v>3330</v>
      </c>
      <c r="N24" s="1296"/>
    </row>
    <row r="25" spans="1:14" x14ac:dyDescent="0.2">
      <c r="A25" s="1293"/>
      <c r="B25" s="1297"/>
      <c r="C25" s="669">
        <v>4</v>
      </c>
      <c r="D25" s="670">
        <v>19</v>
      </c>
      <c r="E25" s="669">
        <v>4.3</v>
      </c>
      <c r="F25" s="670">
        <v>27</v>
      </c>
      <c r="G25" s="669">
        <v>4.5</v>
      </c>
      <c r="H25" s="670">
        <v>33</v>
      </c>
      <c r="I25" s="669">
        <v>4.7</v>
      </c>
      <c r="J25" s="670">
        <v>38</v>
      </c>
      <c r="K25" s="669">
        <v>4.7</v>
      </c>
      <c r="L25" s="670">
        <v>47</v>
      </c>
      <c r="M25" s="1298" t="s">
        <v>3330</v>
      </c>
      <c r="N25" s="1296"/>
    </row>
    <row r="26" spans="1:14" x14ac:dyDescent="0.2">
      <c r="A26" s="1293"/>
      <c r="B26" s="1300" t="s">
        <v>3335</v>
      </c>
      <c r="C26" s="669">
        <v>4.0999999999999996</v>
      </c>
      <c r="D26" s="670">
        <v>16</v>
      </c>
      <c r="E26" s="669">
        <v>4.4000000000000004</v>
      </c>
      <c r="F26" s="670">
        <v>24</v>
      </c>
      <c r="G26" s="669">
        <v>4.5999999999999996</v>
      </c>
      <c r="H26" s="670">
        <v>30</v>
      </c>
      <c r="I26" s="669">
        <v>4.8</v>
      </c>
      <c r="J26" s="670">
        <v>35</v>
      </c>
      <c r="K26" s="669">
        <v>4.8</v>
      </c>
      <c r="L26" s="670">
        <v>43</v>
      </c>
      <c r="M26" s="1298" t="s">
        <v>3335</v>
      </c>
      <c r="N26" s="1296"/>
    </row>
    <row r="27" spans="1:14" x14ac:dyDescent="0.2">
      <c r="A27" s="1293"/>
      <c r="B27" s="1297"/>
      <c r="C27" s="669">
        <v>4.2</v>
      </c>
      <c r="D27" s="670">
        <v>14</v>
      </c>
      <c r="E27" s="669">
        <v>4.5</v>
      </c>
      <c r="F27" s="670">
        <v>22</v>
      </c>
      <c r="G27" s="669">
        <v>4.7</v>
      </c>
      <c r="H27" s="670">
        <v>27</v>
      </c>
      <c r="I27" s="669">
        <v>4.9000000000000004</v>
      </c>
      <c r="J27" s="670">
        <v>31</v>
      </c>
      <c r="K27" s="669">
        <v>4.9000000000000004</v>
      </c>
      <c r="L27" s="670">
        <v>38</v>
      </c>
      <c r="M27" s="1298" t="s">
        <v>3335</v>
      </c>
      <c r="N27" s="1296"/>
    </row>
    <row r="28" spans="1:14" x14ac:dyDescent="0.2">
      <c r="A28" s="1293"/>
      <c r="B28" s="1297"/>
      <c r="C28" s="669">
        <v>4.3</v>
      </c>
      <c r="D28" s="670">
        <v>12</v>
      </c>
      <c r="E28" s="669">
        <v>4.5999999999999996</v>
      </c>
      <c r="F28" s="670">
        <v>18</v>
      </c>
      <c r="G28" s="669">
        <v>4.8</v>
      </c>
      <c r="H28" s="670">
        <v>24</v>
      </c>
      <c r="I28" s="669">
        <v>5</v>
      </c>
      <c r="J28" s="670">
        <v>27</v>
      </c>
      <c r="K28" s="669">
        <v>5</v>
      </c>
      <c r="L28" s="670">
        <v>34</v>
      </c>
      <c r="M28" s="1298" t="s">
        <v>3335</v>
      </c>
      <c r="N28" s="1296"/>
    </row>
    <row r="29" spans="1:14" x14ac:dyDescent="0.2">
      <c r="A29" s="1293"/>
      <c r="B29" s="1297"/>
      <c r="C29" s="669">
        <v>4.4000000000000004</v>
      </c>
      <c r="D29" s="670">
        <v>9</v>
      </c>
      <c r="E29" s="669">
        <v>4.7</v>
      </c>
      <c r="F29" s="670">
        <v>16</v>
      </c>
      <c r="G29" s="669">
        <v>4.9000000000000004</v>
      </c>
      <c r="H29" s="670">
        <v>20</v>
      </c>
      <c r="I29" s="669">
        <v>5.0999999999999996</v>
      </c>
      <c r="J29" s="670">
        <v>23</v>
      </c>
      <c r="K29" s="669">
        <v>5.0999999999999996</v>
      </c>
      <c r="L29" s="670">
        <v>30</v>
      </c>
      <c r="M29" s="1298" t="s">
        <v>3335</v>
      </c>
      <c r="N29" s="1296"/>
    </row>
    <row r="30" spans="1:14" x14ac:dyDescent="0.2">
      <c r="A30" s="1293"/>
      <c r="B30" s="1297"/>
      <c r="C30" s="669">
        <v>4.5</v>
      </c>
      <c r="D30" s="670">
        <v>7</v>
      </c>
      <c r="E30" s="669">
        <v>4.8</v>
      </c>
      <c r="F30" s="670">
        <v>14</v>
      </c>
      <c r="G30" s="669">
        <v>5</v>
      </c>
      <c r="H30" s="670">
        <v>17</v>
      </c>
      <c r="I30" s="669">
        <v>5.2</v>
      </c>
      <c r="J30" s="670">
        <v>19</v>
      </c>
      <c r="K30" s="669">
        <v>5.2</v>
      </c>
      <c r="L30" s="670">
        <v>25</v>
      </c>
      <c r="M30" s="1298" t="s">
        <v>3335</v>
      </c>
      <c r="N30" s="1296"/>
    </row>
    <row r="31" spans="1:14" x14ac:dyDescent="0.2">
      <c r="A31" s="1293"/>
      <c r="B31" s="1297"/>
      <c r="C31" s="669">
        <v>4.5999999999999996</v>
      </c>
      <c r="D31" s="670">
        <v>5</v>
      </c>
      <c r="E31" s="669">
        <v>4.9000000000000004</v>
      </c>
      <c r="F31" s="670">
        <v>11</v>
      </c>
      <c r="G31" s="669">
        <v>5.0999999999999996</v>
      </c>
      <c r="H31" s="670">
        <v>14</v>
      </c>
      <c r="I31" s="669">
        <v>5.3</v>
      </c>
      <c r="J31" s="670">
        <v>16</v>
      </c>
      <c r="K31" s="669">
        <v>5.3</v>
      </c>
      <c r="L31" s="670">
        <v>22</v>
      </c>
      <c r="M31" s="1298" t="s">
        <v>3335</v>
      </c>
      <c r="N31" s="1296"/>
    </row>
    <row r="32" spans="1:14" x14ac:dyDescent="0.2">
      <c r="A32" s="1293"/>
      <c r="B32" s="1297"/>
      <c r="C32" s="669"/>
      <c r="D32" s="670"/>
      <c r="E32" s="669">
        <v>5</v>
      </c>
      <c r="F32" s="670">
        <v>9</v>
      </c>
      <c r="G32" s="669">
        <v>5.2</v>
      </c>
      <c r="H32" s="670">
        <v>10</v>
      </c>
      <c r="I32" s="669">
        <v>5.4</v>
      </c>
      <c r="J32" s="670">
        <v>12</v>
      </c>
      <c r="K32" s="669">
        <v>5.4</v>
      </c>
      <c r="L32" s="670">
        <v>17</v>
      </c>
      <c r="M32" s="1298" t="s">
        <v>3335</v>
      </c>
      <c r="N32" s="1296"/>
    </row>
    <row r="33" spans="1:14" x14ac:dyDescent="0.2">
      <c r="A33" s="1293"/>
      <c r="B33" s="1297"/>
      <c r="C33" s="669"/>
      <c r="D33" s="670"/>
      <c r="E33" s="669">
        <v>5.0999999999999996</v>
      </c>
      <c r="F33" s="670">
        <v>6</v>
      </c>
      <c r="G33" s="669">
        <v>5.3</v>
      </c>
      <c r="H33" s="670">
        <v>7</v>
      </c>
      <c r="I33" s="669">
        <v>5.5</v>
      </c>
      <c r="J33" s="670">
        <v>8</v>
      </c>
      <c r="K33" s="669">
        <v>5.5</v>
      </c>
      <c r="L33" s="670">
        <v>13</v>
      </c>
      <c r="M33" s="1298" t="s">
        <v>3335</v>
      </c>
      <c r="N33" s="1296"/>
    </row>
    <row r="34" spans="1:14" x14ac:dyDescent="0.2">
      <c r="A34" s="1293"/>
      <c r="B34" s="1297"/>
      <c r="C34" s="669"/>
      <c r="D34" s="670"/>
      <c r="F34" s="670"/>
      <c r="G34" s="669"/>
      <c r="H34" s="670"/>
      <c r="I34" s="669"/>
      <c r="J34" s="670"/>
      <c r="K34" s="669">
        <v>5.6</v>
      </c>
      <c r="L34" s="670">
        <v>9</v>
      </c>
      <c r="M34" s="1298" t="s">
        <v>3335</v>
      </c>
      <c r="N34" s="1296"/>
    </row>
    <row r="35" spans="1:14" s="1345" customFormat="1" x14ac:dyDescent="0.2">
      <c r="A35" s="1339"/>
      <c r="B35" s="1340" t="s">
        <v>3336</v>
      </c>
      <c r="C35" s="1341">
        <v>4.7</v>
      </c>
      <c r="D35" s="1342">
        <v>4</v>
      </c>
      <c r="E35" s="1341">
        <v>5.2</v>
      </c>
      <c r="F35" s="1342">
        <v>5</v>
      </c>
      <c r="G35" s="1341">
        <v>5.4</v>
      </c>
      <c r="H35" s="1342">
        <v>6</v>
      </c>
      <c r="I35" s="1341">
        <v>5.6</v>
      </c>
      <c r="J35" s="1342">
        <v>7</v>
      </c>
      <c r="K35" s="1341">
        <v>5.7</v>
      </c>
      <c r="L35" s="1342">
        <v>8</v>
      </c>
      <c r="M35" s="1343" t="s">
        <v>3336</v>
      </c>
      <c r="N35" s="1344"/>
    </row>
    <row r="36" spans="1:14" s="1345" customFormat="1" x14ac:dyDescent="0.2">
      <c r="A36" s="1339"/>
      <c r="B36" s="1332"/>
      <c r="C36" s="1341">
        <v>4.8</v>
      </c>
      <c r="D36" s="1342">
        <v>4</v>
      </c>
      <c r="E36" s="1341">
        <v>5.3</v>
      </c>
      <c r="F36" s="1342">
        <v>5</v>
      </c>
      <c r="G36" s="1341">
        <v>5.5</v>
      </c>
      <c r="H36" s="1342">
        <v>6</v>
      </c>
      <c r="I36" s="1341">
        <v>5.7</v>
      </c>
      <c r="J36" s="1342">
        <v>7</v>
      </c>
      <c r="K36" s="1341">
        <v>5.8</v>
      </c>
      <c r="L36" s="1342">
        <v>8</v>
      </c>
      <c r="M36" s="1343" t="s">
        <v>3336</v>
      </c>
      <c r="N36" s="1344"/>
    </row>
    <row r="37" spans="1:14" s="1345" customFormat="1" x14ac:dyDescent="0.2">
      <c r="A37" s="1339"/>
      <c r="B37" s="1332"/>
      <c r="C37" s="1341">
        <v>4.9000000000000004</v>
      </c>
      <c r="D37" s="1342">
        <v>4</v>
      </c>
      <c r="E37" s="1341">
        <v>5.4</v>
      </c>
      <c r="F37" s="1342">
        <v>5</v>
      </c>
      <c r="G37" s="1341">
        <v>5.6</v>
      </c>
      <c r="H37" s="1342">
        <v>6</v>
      </c>
      <c r="I37" s="1341">
        <v>5.8</v>
      </c>
      <c r="J37" s="1342">
        <v>7</v>
      </c>
      <c r="K37" s="1341">
        <v>5.9</v>
      </c>
      <c r="L37" s="1342">
        <v>8</v>
      </c>
      <c r="M37" s="1343" t="s">
        <v>3336</v>
      </c>
      <c r="N37" s="1344"/>
    </row>
    <row r="38" spans="1:14" s="1345" customFormat="1" x14ac:dyDescent="0.2">
      <c r="A38" s="1339"/>
      <c r="B38" s="1332"/>
      <c r="C38" s="1341">
        <v>5</v>
      </c>
      <c r="D38" s="1342">
        <v>4</v>
      </c>
      <c r="E38" s="1341">
        <v>5.5</v>
      </c>
      <c r="F38" s="1342">
        <v>5</v>
      </c>
      <c r="G38" s="1341">
        <v>5.7</v>
      </c>
      <c r="H38" s="1342">
        <v>6</v>
      </c>
      <c r="I38" s="1341">
        <v>5.9</v>
      </c>
      <c r="J38" s="1342">
        <v>7</v>
      </c>
      <c r="K38" s="1341">
        <v>6</v>
      </c>
      <c r="L38" s="1342">
        <v>8</v>
      </c>
      <c r="M38" s="1343" t="s">
        <v>3336</v>
      </c>
      <c r="N38" s="1344"/>
    </row>
    <row r="39" spans="1:14" s="1345" customFormat="1" x14ac:dyDescent="0.2">
      <c r="A39" s="1339"/>
      <c r="B39" s="1332"/>
      <c r="C39" s="1341"/>
      <c r="D39" s="1342"/>
      <c r="E39" s="1341"/>
      <c r="F39" s="1342"/>
      <c r="G39" s="1341"/>
      <c r="H39" s="1342"/>
      <c r="I39" s="1341"/>
      <c r="J39" s="1342"/>
      <c r="K39" s="1341">
        <v>6.1</v>
      </c>
      <c r="L39" s="1342">
        <v>8</v>
      </c>
      <c r="M39" s="1343" t="s">
        <v>3336</v>
      </c>
      <c r="N39" s="1344"/>
    </row>
    <row r="40" spans="1:14" x14ac:dyDescent="0.2">
      <c r="A40" s="1293"/>
      <c r="B40" s="1300" t="s">
        <v>3337</v>
      </c>
      <c r="C40" s="669">
        <v>5.0999999999999996</v>
      </c>
      <c r="D40" s="670">
        <v>0</v>
      </c>
      <c r="E40" s="669">
        <v>5.6</v>
      </c>
      <c r="F40" s="670">
        <v>0</v>
      </c>
      <c r="G40" s="669">
        <v>5.8</v>
      </c>
      <c r="H40" s="670">
        <v>0</v>
      </c>
      <c r="I40" s="669">
        <v>6</v>
      </c>
      <c r="J40" s="670">
        <v>0</v>
      </c>
      <c r="K40" s="669">
        <v>6.2</v>
      </c>
      <c r="L40" s="670">
        <v>0</v>
      </c>
      <c r="M40" s="1298" t="s">
        <v>3337</v>
      </c>
      <c r="N40" s="1296"/>
    </row>
    <row r="41" spans="1:14" x14ac:dyDescent="0.2">
      <c r="A41" s="1293"/>
      <c r="B41" s="1297"/>
      <c r="C41" s="669">
        <v>5.2</v>
      </c>
      <c r="D41" s="670">
        <v>0</v>
      </c>
      <c r="E41" s="669">
        <v>5.7</v>
      </c>
      <c r="F41" s="670">
        <v>0</v>
      </c>
      <c r="G41" s="669">
        <v>5.9</v>
      </c>
      <c r="H41" s="670">
        <v>0</v>
      </c>
      <c r="I41" s="669">
        <v>6.1</v>
      </c>
      <c r="J41" s="670">
        <v>0</v>
      </c>
      <c r="K41" s="669">
        <v>6.3</v>
      </c>
      <c r="L41" s="670">
        <v>0</v>
      </c>
      <c r="M41" s="1298" t="s">
        <v>3337</v>
      </c>
      <c r="N41" s="1296"/>
    </row>
    <row r="42" spans="1:14" x14ac:dyDescent="0.2">
      <c r="A42" s="1293"/>
      <c r="B42" s="1297"/>
      <c r="C42" s="669">
        <v>5.3</v>
      </c>
      <c r="D42" s="670">
        <v>0</v>
      </c>
      <c r="E42" s="669">
        <v>5.8</v>
      </c>
      <c r="F42" s="670">
        <v>0</v>
      </c>
      <c r="G42" s="669">
        <v>6</v>
      </c>
      <c r="H42" s="670">
        <v>0</v>
      </c>
      <c r="I42" s="669">
        <v>6.2</v>
      </c>
      <c r="J42" s="670">
        <v>0</v>
      </c>
      <c r="K42" s="669">
        <v>6.4</v>
      </c>
      <c r="L42" s="670">
        <v>0</v>
      </c>
      <c r="M42" s="1298" t="s">
        <v>3337</v>
      </c>
      <c r="N42" s="1296"/>
    </row>
    <row r="43" spans="1:14" x14ac:dyDescent="0.2">
      <c r="A43" s="1293"/>
      <c r="B43" s="1297"/>
      <c r="C43" s="669">
        <v>5.4</v>
      </c>
      <c r="D43" s="670">
        <v>0</v>
      </c>
      <c r="E43" s="669">
        <v>5.9</v>
      </c>
      <c r="F43" s="670">
        <v>0</v>
      </c>
      <c r="G43" s="669">
        <v>6.1</v>
      </c>
      <c r="H43" s="670">
        <v>0</v>
      </c>
      <c r="I43" s="669">
        <v>6.3</v>
      </c>
      <c r="J43" s="670">
        <v>0</v>
      </c>
      <c r="K43" s="669">
        <v>6.5</v>
      </c>
      <c r="L43" s="670">
        <v>0</v>
      </c>
      <c r="M43" s="1298" t="s">
        <v>3337</v>
      </c>
      <c r="N43" s="1296"/>
    </row>
    <row r="44" spans="1:14" x14ac:dyDescent="0.2">
      <c r="A44" s="1293"/>
      <c r="B44" s="1297"/>
      <c r="C44" s="669">
        <v>5.5</v>
      </c>
      <c r="D44" s="670">
        <v>0</v>
      </c>
      <c r="E44" s="669">
        <v>6</v>
      </c>
      <c r="F44" s="670">
        <v>0</v>
      </c>
      <c r="G44" s="669">
        <v>6.2</v>
      </c>
      <c r="H44" s="670">
        <v>0</v>
      </c>
      <c r="I44" s="669">
        <v>6.4</v>
      </c>
      <c r="J44" s="670">
        <v>0</v>
      </c>
      <c r="K44" s="669">
        <v>6.6</v>
      </c>
      <c r="L44" s="670">
        <v>0</v>
      </c>
      <c r="M44" s="1298" t="s">
        <v>3337</v>
      </c>
      <c r="N44" s="1296"/>
    </row>
    <row r="45" spans="1:14" x14ac:dyDescent="0.2">
      <c r="A45" s="1293"/>
      <c r="B45" s="1297"/>
      <c r="C45" s="669">
        <v>5.6</v>
      </c>
      <c r="D45" s="670">
        <v>0</v>
      </c>
      <c r="E45" s="669">
        <v>6.1</v>
      </c>
      <c r="F45" s="670">
        <v>0</v>
      </c>
      <c r="G45" s="669">
        <v>6.3</v>
      </c>
      <c r="H45" s="670">
        <v>0</v>
      </c>
      <c r="I45" s="669">
        <v>6.5</v>
      </c>
      <c r="J45" s="670">
        <v>0</v>
      </c>
      <c r="K45" s="669">
        <v>6.7</v>
      </c>
      <c r="L45" s="670">
        <v>0</v>
      </c>
      <c r="M45" s="1298" t="s">
        <v>3337</v>
      </c>
      <c r="N45" s="1296"/>
    </row>
    <row r="46" spans="1:14" x14ac:dyDescent="0.2">
      <c r="A46" s="1293"/>
      <c r="B46" s="1297"/>
      <c r="C46" s="669"/>
      <c r="D46" s="670"/>
      <c r="E46" s="669"/>
      <c r="F46" s="670">
        <v>0</v>
      </c>
      <c r="G46" s="669">
        <v>6.4</v>
      </c>
      <c r="H46" s="670">
        <v>0</v>
      </c>
      <c r="I46" s="669">
        <v>6.6</v>
      </c>
      <c r="J46" s="670">
        <v>0</v>
      </c>
      <c r="K46" s="669">
        <v>6.8</v>
      </c>
      <c r="L46" s="670">
        <v>0</v>
      </c>
      <c r="M46" s="1298" t="s">
        <v>3337</v>
      </c>
      <c r="N46" s="1296"/>
    </row>
    <row r="47" spans="1:14" x14ac:dyDescent="0.2">
      <c r="A47" s="1293"/>
      <c r="B47" s="1297"/>
      <c r="C47" s="669"/>
      <c r="D47" s="670"/>
      <c r="E47" s="669"/>
      <c r="F47" s="670">
        <v>0</v>
      </c>
      <c r="G47" s="669">
        <v>6.5</v>
      </c>
      <c r="H47" s="670">
        <v>0</v>
      </c>
      <c r="I47" s="669">
        <v>6.7</v>
      </c>
      <c r="J47" s="670">
        <v>0</v>
      </c>
      <c r="K47" s="669">
        <v>6.9</v>
      </c>
      <c r="L47" s="670">
        <v>0</v>
      </c>
      <c r="M47" s="1298" t="s">
        <v>3337</v>
      </c>
      <c r="N47" s="1296"/>
    </row>
    <row r="48" spans="1:14" x14ac:dyDescent="0.2">
      <c r="A48" s="1293"/>
      <c r="B48" s="1297"/>
      <c r="C48" s="669"/>
      <c r="D48" s="670"/>
      <c r="E48" s="669"/>
      <c r="F48" s="670"/>
      <c r="G48" s="1346"/>
      <c r="H48" s="1346"/>
      <c r="I48" s="669">
        <v>6.8</v>
      </c>
      <c r="J48" s="670">
        <v>0</v>
      </c>
      <c r="K48" s="669">
        <v>7</v>
      </c>
      <c r="L48" s="670">
        <v>0</v>
      </c>
      <c r="M48" s="1298" t="s">
        <v>3337</v>
      </c>
      <c r="N48" s="1296"/>
    </row>
    <row r="49" spans="1:23" x14ac:dyDescent="0.2">
      <c r="A49" s="1293"/>
      <c r="B49" s="1300" t="s">
        <v>3338</v>
      </c>
      <c r="C49" s="669">
        <v>5.6</v>
      </c>
      <c r="D49" s="670">
        <v>0</v>
      </c>
      <c r="E49" s="669">
        <v>6.1</v>
      </c>
      <c r="F49" s="670">
        <v>0</v>
      </c>
      <c r="G49" s="669">
        <v>6.5</v>
      </c>
      <c r="H49" s="670">
        <v>0</v>
      </c>
      <c r="I49" s="669">
        <v>6.8</v>
      </c>
      <c r="J49" s="670">
        <v>0</v>
      </c>
      <c r="K49" s="669">
        <v>7</v>
      </c>
      <c r="L49" s="670">
        <v>0</v>
      </c>
      <c r="M49" s="1298" t="s">
        <v>3338</v>
      </c>
      <c r="N49" s="1296"/>
      <c r="S49" s="669" t="s">
        <v>3339</v>
      </c>
      <c r="T49" s="669" t="s">
        <v>3340</v>
      </c>
      <c r="U49" s="669" t="s">
        <v>3341</v>
      </c>
      <c r="V49" s="669" t="s">
        <v>3342</v>
      </c>
      <c r="W49" s="669" t="s">
        <v>3343</v>
      </c>
    </row>
    <row r="50" spans="1:23" x14ac:dyDescent="0.2">
      <c r="A50" s="1293"/>
      <c r="B50" s="1301"/>
      <c r="C50" s="692">
        <v>10</v>
      </c>
      <c r="D50" s="692">
        <v>0</v>
      </c>
      <c r="E50" s="692">
        <v>10</v>
      </c>
      <c r="F50" s="692">
        <v>0</v>
      </c>
      <c r="G50" s="692">
        <v>10</v>
      </c>
      <c r="H50" s="692">
        <v>0</v>
      </c>
      <c r="I50" s="692">
        <v>10</v>
      </c>
      <c r="J50" s="692">
        <v>0</v>
      </c>
      <c r="K50" s="692">
        <v>10</v>
      </c>
      <c r="L50" s="692">
        <v>0</v>
      </c>
      <c r="M50" s="1302" t="s">
        <v>3338</v>
      </c>
      <c r="N50" s="1303"/>
      <c r="O50" s="1304"/>
      <c r="P50" s="1304"/>
      <c r="Q50" s="1304"/>
    </row>
    <row r="51" spans="1:23" x14ac:dyDescent="0.2">
      <c r="A51" s="1293"/>
      <c r="B51" s="1294" t="s">
        <v>3344</v>
      </c>
      <c r="C51" s="1305"/>
      <c r="D51" s="694">
        <f>IF(AND(D$15=$D$62,$D$63&lt;4),VLOOKUP($E$64,C19:L50,2,TRUE),0)</f>
        <v>0</v>
      </c>
      <c r="E51" s="1305"/>
      <c r="F51" s="694">
        <f>IF(AND(F$15=$D$62,$D$63&lt;4),VLOOKUP($E$64,E19:L50,2,TRUE),0)</f>
        <v>0</v>
      </c>
      <c r="G51" s="1305"/>
      <c r="H51" s="694">
        <f>IF(AND(H$15=$D$62,$D$63&lt;4),VLOOKUP($E$64,G19:L50,2,TRUE),0)</f>
        <v>0</v>
      </c>
      <c r="I51" s="1305"/>
      <c r="J51" s="694">
        <f>IF(AND(J$15=$D$62,$D$63&lt;4),VLOOKUP($E$64,I19:L50,2,TRUE),0)</f>
        <v>0</v>
      </c>
      <c r="K51" s="1305"/>
      <c r="L51" s="694">
        <f>IF(AND(L$15=$D$62,$D$63&lt;4),VLOOKUP($E$64,K19:L50,2,TRUE),0)</f>
        <v>0</v>
      </c>
      <c r="M51" s="1295"/>
      <c r="N51" s="1306" t="s">
        <v>3345</v>
      </c>
      <c r="O51" s="1307">
        <f>D51+F51+H51+J51+L51</f>
        <v>0</v>
      </c>
      <c r="P51" s="1305"/>
      <c r="Q51" s="1308"/>
      <c r="R51" s="1296"/>
    </row>
    <row r="52" spans="1:23" x14ac:dyDescent="0.2">
      <c r="A52" s="1293"/>
      <c r="B52" s="1347" t="s">
        <v>3346</v>
      </c>
      <c r="C52" s="1310"/>
      <c r="D52" s="1348">
        <v>15</v>
      </c>
      <c r="E52" s="1310"/>
      <c r="F52" s="1311">
        <v>15</v>
      </c>
      <c r="G52" s="1310"/>
      <c r="H52" s="1311">
        <v>20</v>
      </c>
      <c r="I52" s="1310"/>
      <c r="J52" s="1311">
        <v>25</v>
      </c>
      <c r="K52" s="1310"/>
      <c r="L52" s="1311">
        <v>30</v>
      </c>
      <c r="M52" s="1298"/>
      <c r="N52" s="1296"/>
      <c r="Q52" s="1315"/>
      <c r="R52" s="1296"/>
      <c r="S52" s="1287" t="s">
        <v>3347</v>
      </c>
    </row>
    <row r="53" spans="1:23" x14ac:dyDescent="0.2">
      <c r="A53" s="1293"/>
      <c r="B53" s="1316" t="s">
        <v>3348</v>
      </c>
      <c r="C53" s="1320"/>
      <c r="D53" s="695">
        <f>IF(AND(D15=$D$62,$D$65&gt;0),D52,0)</f>
        <v>0</v>
      </c>
      <c r="E53" s="1320"/>
      <c r="F53" s="695">
        <f>IF(AND(F15=$D$62,D65&gt;0),F52,0)</f>
        <v>0</v>
      </c>
      <c r="G53" s="1320"/>
      <c r="H53" s="695">
        <f>IF(AND(H15=$D$62,D65&gt;0),H52,0)</f>
        <v>0</v>
      </c>
      <c r="I53" s="1320"/>
      <c r="J53" s="695">
        <f>IF(AND(J15=$D$62,D65&gt;0),J52,0)</f>
        <v>0</v>
      </c>
      <c r="K53" s="1320"/>
      <c r="L53" s="695">
        <f>IF(AND(L15=$D$62,D65&gt;0),L52,0)</f>
        <v>0</v>
      </c>
      <c r="M53" s="1336"/>
      <c r="N53" s="1319" t="s">
        <v>3345</v>
      </c>
      <c r="O53" s="1349">
        <f>D53+F53+H53+J53+L53</f>
        <v>0</v>
      </c>
      <c r="P53" s="1320" t="s">
        <v>3349</v>
      </c>
      <c r="Q53" s="1321"/>
      <c r="R53" s="1296"/>
    </row>
    <row r="54" spans="1:23" x14ac:dyDescent="0.2">
      <c r="A54" s="1293"/>
      <c r="B54" s="1350"/>
      <c r="C54" s="1351"/>
      <c r="D54" s="696"/>
      <c r="E54" s="1351"/>
      <c r="F54" s="696"/>
      <c r="G54" s="1351"/>
      <c r="H54" s="696"/>
      <c r="I54" s="1351"/>
      <c r="J54" s="696"/>
      <c r="K54" s="1351"/>
      <c r="L54" s="696"/>
      <c r="M54" s="1352"/>
      <c r="N54" s="1325"/>
      <c r="O54" s="1323"/>
      <c r="P54" s="1323"/>
      <c r="Q54" s="1323"/>
    </row>
    <row r="55" spans="1:23" x14ac:dyDescent="0.2">
      <c r="A55" s="1293"/>
      <c r="B55" s="1353" t="s">
        <v>3329</v>
      </c>
      <c r="C55" s="1354" t="str">
        <f>IF(AND($D$62=D15,$D$63&lt;4),VLOOKUP($E$64,$C$19:$M$50,M2,TRUE),"")</f>
        <v/>
      </c>
      <c r="D55" s="697"/>
      <c r="E55" s="1354" t="str">
        <f>IF(AND($D$62=F15,$D$63&lt;4),VLOOKUP($E$64,$E$19:$M$50,K2,TRUE),"")</f>
        <v/>
      </c>
      <c r="F55" s="697"/>
      <c r="G55" s="1354" t="str">
        <f>IF(AND($D$62=H15,$D$63&lt;4),VLOOKUP($E$64,$G$19:$M$50,I2,TRUE),"")</f>
        <v/>
      </c>
      <c r="H55" s="697"/>
      <c r="I55" s="1354" t="str">
        <f>IF(AND($D$62=J15,$D$63&lt;4),VLOOKUP($E$64,$I$19:$M$50,G2,TRUE),"")</f>
        <v>D</v>
      </c>
      <c r="J55" s="697"/>
      <c r="K55" s="1354" t="str">
        <f>IF(AND($D$62=L15,$D$63&lt;4),VLOOKUP($E$64,$K$19:$M$50,E2,TRUE),"")</f>
        <v/>
      </c>
      <c r="L55" s="697"/>
      <c r="M55" s="1355" t="str">
        <f>C55&amp;E55&amp;G55&amp;I55&amp;K55</f>
        <v>D</v>
      </c>
      <c r="N55" s="1296"/>
    </row>
    <row r="56" spans="1:23" x14ac:dyDescent="0.2">
      <c r="A56" s="1293"/>
      <c r="B56" s="1322"/>
      <c r="C56" s="1323"/>
      <c r="D56" s="693"/>
      <c r="E56" s="1323"/>
      <c r="F56" s="693"/>
      <c r="G56" s="1323"/>
      <c r="H56" s="693"/>
      <c r="I56" s="1323"/>
      <c r="J56" s="693"/>
      <c r="K56" s="1323"/>
      <c r="L56" s="693"/>
      <c r="M56" s="1324"/>
      <c r="N56" s="1296"/>
    </row>
    <row r="57" spans="1:23" x14ac:dyDescent="0.2">
      <c r="A57" s="1293"/>
      <c r="B57" s="1297" t="s">
        <v>4622</v>
      </c>
      <c r="L57" s="668"/>
      <c r="M57" s="1298"/>
      <c r="N57" s="1296"/>
    </row>
    <row r="58" spans="1:23" x14ac:dyDescent="0.2">
      <c r="A58" s="1293"/>
      <c r="B58" s="1297"/>
      <c r="M58" s="1298"/>
      <c r="N58" s="1296"/>
    </row>
    <row r="59" spans="1:23" x14ac:dyDescent="0.2">
      <c r="A59" s="691"/>
      <c r="B59" s="1316"/>
      <c r="C59" s="1320"/>
      <c r="D59" s="1320"/>
      <c r="E59" s="1320"/>
      <c r="F59" s="1320"/>
      <c r="G59" s="1320"/>
      <c r="H59" s="1304"/>
      <c r="I59" s="1304"/>
      <c r="J59" s="1304"/>
      <c r="K59" s="1304"/>
      <c r="L59" s="1304"/>
      <c r="M59" s="1302"/>
      <c r="N59" s="1296"/>
    </row>
    <row r="60" spans="1:23" x14ac:dyDescent="0.2">
      <c r="A60" s="1293"/>
      <c r="B60" s="1322"/>
      <c r="C60" s="1323"/>
      <c r="D60" s="1323"/>
      <c r="E60" s="1323"/>
      <c r="F60" s="1323"/>
      <c r="G60" s="1356"/>
      <c r="H60" s="1357" t="s">
        <v>3350</v>
      </c>
      <c r="I60" s="1305"/>
      <c r="J60" s="1305"/>
      <c r="K60" s="1305"/>
      <c r="L60" s="1358" t="s">
        <v>3328</v>
      </c>
      <c r="M60" s="1295"/>
      <c r="N60" s="1296"/>
    </row>
    <row r="61" spans="1:23" x14ac:dyDescent="0.2">
      <c r="A61" s="1293"/>
      <c r="B61" s="1297"/>
      <c r="G61" s="1293"/>
      <c r="H61" s="1297"/>
      <c r="M61" s="1298"/>
      <c r="N61" s="1296"/>
    </row>
    <row r="62" spans="1:23" x14ac:dyDescent="0.2">
      <c r="A62" s="1293"/>
      <c r="B62" s="1297" t="s">
        <v>3351</v>
      </c>
      <c r="D62" s="1330">
        <f>GL_Eingabe!$M$48</f>
        <v>4</v>
      </c>
      <c r="E62" s="1359" t="str">
        <f>VLOOKUP($D$62,Bodenarten!$B$10:$C$17,Bodenarten!$C$2,FALSE)</f>
        <v>sandiger bis schluffiger Lehm, sL - uL</v>
      </c>
      <c r="G62" s="1293"/>
      <c r="H62" s="1297" t="s">
        <v>3352</v>
      </c>
      <c r="L62" s="1311">
        <v>15</v>
      </c>
      <c r="M62" s="1298"/>
      <c r="N62" s="1296"/>
    </row>
    <row r="63" spans="1:23" x14ac:dyDescent="0.2">
      <c r="A63" s="1293"/>
      <c r="B63" s="1297" t="s">
        <v>3353</v>
      </c>
      <c r="D63" s="1330">
        <f>AB_Kalk!R42</f>
        <v>1</v>
      </c>
      <c r="E63" s="1359" t="str">
        <f>VLOOKUP(D63,AB_Kalk!R32:S36,2)</f>
        <v>0 - 4 %</v>
      </c>
      <c r="G63" s="1293"/>
      <c r="H63" s="1297" t="s">
        <v>3354</v>
      </c>
      <c r="L63" s="1311">
        <v>15</v>
      </c>
      <c r="M63" s="1298"/>
      <c r="N63" s="1296"/>
    </row>
    <row r="64" spans="1:23" x14ac:dyDescent="0.2">
      <c r="A64" s="1293"/>
      <c r="B64" s="1297" t="s">
        <v>3355</v>
      </c>
      <c r="D64" s="1330">
        <f>GL_Eingabe!M46</f>
        <v>31</v>
      </c>
      <c r="E64" s="690">
        <f>VLOOKUP(D64,AB_Kalk!T31:U79,2,FALSE)</f>
        <v>6.0000000000000098</v>
      </c>
      <c r="G64" s="1293"/>
      <c r="H64" s="1297" t="s">
        <v>3356</v>
      </c>
      <c r="L64" s="1311">
        <v>20</v>
      </c>
      <c r="M64" s="1298"/>
      <c r="N64" s="1296"/>
    </row>
    <row r="65" spans="1:14" x14ac:dyDescent="0.2">
      <c r="A65" s="1293"/>
      <c r="B65" s="1297" t="s">
        <v>3357</v>
      </c>
      <c r="D65" s="673">
        <f>O51</f>
        <v>0</v>
      </c>
      <c r="E65" s="1287" t="s">
        <v>3358</v>
      </c>
      <c r="G65" s="1293"/>
      <c r="H65" s="1297" t="s">
        <v>3359</v>
      </c>
      <c r="L65" s="1311">
        <v>25</v>
      </c>
      <c r="M65" s="1298"/>
      <c r="N65" s="1296"/>
    </row>
    <row r="66" spans="1:14" x14ac:dyDescent="0.2">
      <c r="A66" s="1293"/>
      <c r="B66" s="1332" t="s">
        <v>3360</v>
      </c>
      <c r="D66" s="674">
        <f>IF(D63&gt;3,"entfällt",O53)</f>
        <v>0</v>
      </c>
      <c r="E66" s="1287" t="s">
        <v>3358</v>
      </c>
      <c r="G66" s="1293"/>
      <c r="H66" s="1297" t="s">
        <v>3361</v>
      </c>
      <c r="L66" s="1311">
        <v>30</v>
      </c>
      <c r="M66" s="1298"/>
      <c r="N66" s="1296"/>
    </row>
    <row r="67" spans="1:14" x14ac:dyDescent="0.2">
      <c r="A67" s="1293"/>
      <c r="B67" s="1297" t="s">
        <v>3362</v>
      </c>
      <c r="D67" s="1290" t="str">
        <f>IF(AND(D63&lt;4,D62&lt;6),M55,"entfällt")</f>
        <v>D</v>
      </c>
      <c r="G67" s="1293"/>
      <c r="H67" s="1287" t="s">
        <v>3368</v>
      </c>
      <c r="L67" s="1515">
        <v>0</v>
      </c>
      <c r="M67" s="1298"/>
      <c r="N67" s="1296"/>
    </row>
    <row r="68" spans="1:14" x14ac:dyDescent="0.2">
      <c r="A68" s="1293"/>
      <c r="B68" s="1297"/>
      <c r="G68" s="1293"/>
      <c r="H68" s="1297" t="s">
        <v>3363</v>
      </c>
      <c r="L68" s="1311">
        <v>0</v>
      </c>
      <c r="M68" s="1298"/>
      <c r="N68" s="1296"/>
    </row>
    <row r="69" spans="1:14" x14ac:dyDescent="0.2">
      <c r="A69" s="1293"/>
      <c r="B69" s="1297"/>
      <c r="G69" s="1293"/>
      <c r="H69" s="1297"/>
      <c r="M69" s="1298"/>
      <c r="N69" s="1296"/>
    </row>
    <row r="70" spans="1:14" x14ac:dyDescent="0.2">
      <c r="A70" s="1293"/>
      <c r="B70" s="1360" t="s">
        <v>3364</v>
      </c>
      <c r="C70" s="1361"/>
      <c r="D70" s="1361"/>
      <c r="E70" s="1361" t="str">
        <f>Bodenarten!E30</f>
        <v>mittel</v>
      </c>
      <c r="F70" s="1320"/>
      <c r="G70" s="1362"/>
      <c r="H70" s="1316"/>
      <c r="I70" s="1320"/>
      <c r="J70" s="1320"/>
      <c r="K70" s="1320"/>
      <c r="L70" s="1320"/>
      <c r="M70" s="1336"/>
      <c r="N70" s="1296"/>
    </row>
    <row r="71" spans="1:14" x14ac:dyDescent="0.2">
      <c r="B71" s="1323"/>
      <c r="C71" s="1323"/>
      <c r="D71" s="1323"/>
      <c r="E71" s="1323"/>
      <c r="F71" s="1323"/>
      <c r="G71" s="1323"/>
      <c r="H71" s="1323"/>
      <c r="I71" s="1323"/>
      <c r="J71" s="1323"/>
      <c r="K71" s="1323"/>
      <c r="L71" s="1323"/>
      <c r="M71" s="1337"/>
    </row>
    <row r="72" spans="1:14" x14ac:dyDescent="0.2">
      <c r="B72" s="1287" t="s">
        <v>4286</v>
      </c>
    </row>
    <row r="73" spans="1:14" x14ac:dyDescent="0.2">
      <c r="B73" s="1287" t="s">
        <v>4287</v>
      </c>
    </row>
  </sheetData>
  <sheetProtection password="8677" sheet="1" objects="1" scenarios="1"/>
  <mergeCells count="7">
    <mergeCell ref="D5:J5"/>
    <mergeCell ref="C13:L13"/>
    <mergeCell ref="C14:D14"/>
    <mergeCell ref="E14:F14"/>
    <mergeCell ref="G14:H14"/>
    <mergeCell ref="I14:J14"/>
    <mergeCell ref="K14:L14"/>
  </mergeCells>
  <printOptions horizontalCentered="1" verticalCentered="1"/>
  <pageMargins left="0.78740157480314965" right="0.59055118110236227" top="0.39370078740157483" bottom="0.39370078740157483" header="0" footer="0.11811023622047245"/>
  <pageSetup paperSize="9" scale="61" orientation="portrait" verticalDpi="1200" r:id="rId1"/>
  <headerFooter alignWithMargins="0">
    <oddFooter>&amp;L&amp;8LEL / LTZ / LAZBW / LWA-DS&amp;C&amp;8&amp;F  &amp;A&amp;R&amp;8&amp;D</oddFooter>
  </headerFooter>
  <rowBreaks count="2" manualBreakCount="2">
    <brk id="11" min="1" max="11" man="1"/>
    <brk id="55" min="1" max="11" man="1"/>
  </rowBreaks>
  <drawing r:id="rId2"/>
  <legacy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6" tint="0.59999389629810485"/>
    <pageSetUpPr fitToPage="1"/>
  </sheetPr>
  <dimension ref="A1:AN57"/>
  <sheetViews>
    <sheetView zoomScaleNormal="100" workbookViewId="0">
      <pane ySplit="21" topLeftCell="A22" activePane="bottomLeft" state="frozen"/>
      <selection activeCell="A173" sqref="A173"/>
      <selection pane="bottomLeft" activeCell="A173" sqref="A173"/>
    </sheetView>
  </sheetViews>
  <sheetFormatPr baseColWidth="10" defaultRowHeight="12.75" x14ac:dyDescent="0.2"/>
  <cols>
    <col min="1" max="1" width="2.75" style="1287" customWidth="1"/>
    <col min="2" max="2" width="11.5" style="1287"/>
    <col min="3" max="3" width="9.125" style="1287" customWidth="1"/>
    <col min="4" max="4" width="11.5" style="1287"/>
    <col min="5" max="5" width="10.375" style="1287" customWidth="1"/>
    <col min="6" max="6" width="8" style="1287" customWidth="1"/>
    <col min="7" max="7" width="11.5" style="1287"/>
    <col min="8" max="8" width="10.25" style="1287" customWidth="1"/>
    <col min="9" max="9" width="8.75" style="1287" customWidth="1"/>
    <col min="10" max="10" width="11.5" style="1287"/>
    <col min="11" max="11" width="8" style="1287" customWidth="1"/>
    <col min="12" max="12" width="8.375" style="1287" customWidth="1"/>
    <col min="13" max="13" width="8.75" style="1287" customWidth="1"/>
    <col min="14" max="14" width="7.125" style="1287" customWidth="1"/>
    <col min="15" max="15" width="8.5" style="1287" customWidth="1"/>
    <col min="16" max="16" width="10.25" style="1287" customWidth="1"/>
    <col min="17" max="17" width="6.75" style="1287" customWidth="1"/>
    <col min="18" max="18" width="9.5" style="1287" customWidth="1"/>
    <col min="19" max="19" width="7.5" style="1287" customWidth="1"/>
    <col min="20" max="20" width="6.75" style="1287" customWidth="1"/>
    <col min="21" max="21" width="9.5" style="1287" customWidth="1"/>
    <col min="22" max="22" width="7.5" style="1287" customWidth="1"/>
    <col min="23" max="23" width="6.75" style="1287" customWidth="1"/>
    <col min="24" max="24" width="9.75" style="1290" customWidth="1"/>
    <col min="25" max="25" width="9.5" style="1287" customWidth="1"/>
    <col min="26" max="26" width="11.5" style="1287"/>
    <col min="27" max="29" width="11.75" style="1287" customWidth="1"/>
    <col min="30" max="34" width="9.75" style="1287" customWidth="1"/>
    <col min="35" max="267" width="11.5" style="1287"/>
    <col min="268" max="268" width="2.75" style="1287" customWidth="1"/>
    <col min="269" max="269" width="11.5" style="1287"/>
    <col min="270" max="270" width="12.5" style="1287" customWidth="1"/>
    <col min="271" max="278" width="11.5" style="1287"/>
    <col min="279" max="279" width="15.625" style="1287" customWidth="1"/>
    <col min="280" max="280" width="9.75" style="1287" customWidth="1"/>
    <col min="281" max="281" width="9.5" style="1287" customWidth="1"/>
    <col min="282" max="282" width="11.5" style="1287"/>
    <col min="283" max="285" width="11.75" style="1287" customWidth="1"/>
    <col min="286" max="290" width="9.75" style="1287" customWidth="1"/>
    <col min="291" max="523" width="11.5" style="1287"/>
    <col min="524" max="524" width="2.75" style="1287" customWidth="1"/>
    <col min="525" max="525" width="11.5" style="1287"/>
    <col min="526" max="526" width="12.5" style="1287" customWidth="1"/>
    <col min="527" max="534" width="11.5" style="1287"/>
    <col min="535" max="535" width="15.625" style="1287" customWidth="1"/>
    <col min="536" max="536" width="9.75" style="1287" customWidth="1"/>
    <col min="537" max="537" width="9.5" style="1287" customWidth="1"/>
    <col min="538" max="538" width="11.5" style="1287"/>
    <col min="539" max="541" width="11.75" style="1287" customWidth="1"/>
    <col min="542" max="546" width="9.75" style="1287" customWidth="1"/>
    <col min="547" max="779" width="11.5" style="1287"/>
    <col min="780" max="780" width="2.75" style="1287" customWidth="1"/>
    <col min="781" max="781" width="11.5" style="1287"/>
    <col min="782" max="782" width="12.5" style="1287" customWidth="1"/>
    <col min="783" max="790" width="11.5" style="1287"/>
    <col min="791" max="791" width="15.625" style="1287" customWidth="1"/>
    <col min="792" max="792" width="9.75" style="1287" customWidth="1"/>
    <col min="793" max="793" width="9.5" style="1287" customWidth="1"/>
    <col min="794" max="794" width="11.5" style="1287"/>
    <col min="795" max="797" width="11.75" style="1287" customWidth="1"/>
    <col min="798" max="802" width="9.75" style="1287" customWidth="1"/>
    <col min="803" max="1035" width="11.5" style="1287"/>
    <col min="1036" max="1036" width="2.75" style="1287" customWidth="1"/>
    <col min="1037" max="1037" width="11.5" style="1287"/>
    <col min="1038" max="1038" width="12.5" style="1287" customWidth="1"/>
    <col min="1039" max="1046" width="11.5" style="1287"/>
    <col min="1047" max="1047" width="15.625" style="1287" customWidth="1"/>
    <col min="1048" max="1048" width="9.75" style="1287" customWidth="1"/>
    <col min="1049" max="1049" width="9.5" style="1287" customWidth="1"/>
    <col min="1050" max="1050" width="11.5" style="1287"/>
    <col min="1051" max="1053" width="11.75" style="1287" customWidth="1"/>
    <col min="1054" max="1058" width="9.75" style="1287" customWidth="1"/>
    <col min="1059" max="1291" width="11.5" style="1287"/>
    <col min="1292" max="1292" width="2.75" style="1287" customWidth="1"/>
    <col min="1293" max="1293" width="11.5" style="1287"/>
    <col min="1294" max="1294" width="12.5" style="1287" customWidth="1"/>
    <col min="1295" max="1302" width="11.5" style="1287"/>
    <col min="1303" max="1303" width="15.625" style="1287" customWidth="1"/>
    <col min="1304" max="1304" width="9.75" style="1287" customWidth="1"/>
    <col min="1305" max="1305" width="9.5" style="1287" customWidth="1"/>
    <col min="1306" max="1306" width="11.5" style="1287"/>
    <col min="1307" max="1309" width="11.75" style="1287" customWidth="1"/>
    <col min="1310" max="1314" width="9.75" style="1287" customWidth="1"/>
    <col min="1315" max="1547" width="11.5" style="1287"/>
    <col min="1548" max="1548" width="2.75" style="1287" customWidth="1"/>
    <col min="1549" max="1549" width="11.5" style="1287"/>
    <col min="1550" max="1550" width="12.5" style="1287" customWidth="1"/>
    <col min="1551" max="1558" width="11.5" style="1287"/>
    <col min="1559" max="1559" width="15.625" style="1287" customWidth="1"/>
    <col min="1560" max="1560" width="9.75" style="1287" customWidth="1"/>
    <col min="1561" max="1561" width="9.5" style="1287" customWidth="1"/>
    <col min="1562" max="1562" width="11.5" style="1287"/>
    <col min="1563" max="1565" width="11.75" style="1287" customWidth="1"/>
    <col min="1566" max="1570" width="9.75" style="1287" customWidth="1"/>
    <col min="1571" max="1803" width="11.5" style="1287"/>
    <col min="1804" max="1804" width="2.75" style="1287" customWidth="1"/>
    <col min="1805" max="1805" width="11.5" style="1287"/>
    <col min="1806" max="1806" width="12.5" style="1287" customWidth="1"/>
    <col min="1807" max="1814" width="11.5" style="1287"/>
    <col min="1815" max="1815" width="15.625" style="1287" customWidth="1"/>
    <col min="1816" max="1816" width="9.75" style="1287" customWidth="1"/>
    <col min="1817" max="1817" width="9.5" style="1287" customWidth="1"/>
    <col min="1818" max="1818" width="11.5" style="1287"/>
    <col min="1819" max="1821" width="11.75" style="1287" customWidth="1"/>
    <col min="1822" max="1826" width="9.75" style="1287" customWidth="1"/>
    <col min="1827" max="2059" width="11.5" style="1287"/>
    <col min="2060" max="2060" width="2.75" style="1287" customWidth="1"/>
    <col min="2061" max="2061" width="11.5" style="1287"/>
    <col min="2062" max="2062" width="12.5" style="1287" customWidth="1"/>
    <col min="2063" max="2070" width="11.5" style="1287"/>
    <col min="2071" max="2071" width="15.625" style="1287" customWidth="1"/>
    <col min="2072" max="2072" width="9.75" style="1287" customWidth="1"/>
    <col min="2073" max="2073" width="9.5" style="1287" customWidth="1"/>
    <col min="2074" max="2074" width="11.5" style="1287"/>
    <col min="2075" max="2077" width="11.75" style="1287" customWidth="1"/>
    <col min="2078" max="2082" width="9.75" style="1287" customWidth="1"/>
    <col min="2083" max="2315" width="11.5" style="1287"/>
    <col min="2316" max="2316" width="2.75" style="1287" customWidth="1"/>
    <col min="2317" max="2317" width="11.5" style="1287"/>
    <col min="2318" max="2318" width="12.5" style="1287" customWidth="1"/>
    <col min="2319" max="2326" width="11.5" style="1287"/>
    <col min="2327" max="2327" width="15.625" style="1287" customWidth="1"/>
    <col min="2328" max="2328" width="9.75" style="1287" customWidth="1"/>
    <col min="2329" max="2329" width="9.5" style="1287" customWidth="1"/>
    <col min="2330" max="2330" width="11.5" style="1287"/>
    <col min="2331" max="2333" width="11.75" style="1287" customWidth="1"/>
    <col min="2334" max="2338" width="9.75" style="1287" customWidth="1"/>
    <col min="2339" max="2571" width="11.5" style="1287"/>
    <col min="2572" max="2572" width="2.75" style="1287" customWidth="1"/>
    <col min="2573" max="2573" width="11.5" style="1287"/>
    <col min="2574" max="2574" width="12.5" style="1287" customWidth="1"/>
    <col min="2575" max="2582" width="11.5" style="1287"/>
    <col min="2583" max="2583" width="15.625" style="1287" customWidth="1"/>
    <col min="2584" max="2584" width="9.75" style="1287" customWidth="1"/>
    <col min="2585" max="2585" width="9.5" style="1287" customWidth="1"/>
    <col min="2586" max="2586" width="11.5" style="1287"/>
    <col min="2587" max="2589" width="11.75" style="1287" customWidth="1"/>
    <col min="2590" max="2594" width="9.75" style="1287" customWidth="1"/>
    <col min="2595" max="2827" width="11.5" style="1287"/>
    <col min="2828" max="2828" width="2.75" style="1287" customWidth="1"/>
    <col min="2829" max="2829" width="11.5" style="1287"/>
    <col min="2830" max="2830" width="12.5" style="1287" customWidth="1"/>
    <col min="2831" max="2838" width="11.5" style="1287"/>
    <col min="2839" max="2839" width="15.625" style="1287" customWidth="1"/>
    <col min="2840" max="2840" width="9.75" style="1287" customWidth="1"/>
    <col min="2841" max="2841" width="9.5" style="1287" customWidth="1"/>
    <col min="2842" max="2842" width="11.5" style="1287"/>
    <col min="2843" max="2845" width="11.75" style="1287" customWidth="1"/>
    <col min="2846" max="2850" width="9.75" style="1287" customWidth="1"/>
    <col min="2851" max="3083" width="11.5" style="1287"/>
    <col min="3084" max="3084" width="2.75" style="1287" customWidth="1"/>
    <col min="3085" max="3085" width="11.5" style="1287"/>
    <col min="3086" max="3086" width="12.5" style="1287" customWidth="1"/>
    <col min="3087" max="3094" width="11.5" style="1287"/>
    <col min="3095" max="3095" width="15.625" style="1287" customWidth="1"/>
    <col min="3096" max="3096" width="9.75" style="1287" customWidth="1"/>
    <col min="3097" max="3097" width="9.5" style="1287" customWidth="1"/>
    <col min="3098" max="3098" width="11.5" style="1287"/>
    <col min="3099" max="3101" width="11.75" style="1287" customWidth="1"/>
    <col min="3102" max="3106" width="9.75" style="1287" customWidth="1"/>
    <col min="3107" max="3339" width="11.5" style="1287"/>
    <col min="3340" max="3340" width="2.75" style="1287" customWidth="1"/>
    <col min="3341" max="3341" width="11.5" style="1287"/>
    <col min="3342" max="3342" width="12.5" style="1287" customWidth="1"/>
    <col min="3343" max="3350" width="11.5" style="1287"/>
    <col min="3351" max="3351" width="15.625" style="1287" customWidth="1"/>
    <col min="3352" max="3352" width="9.75" style="1287" customWidth="1"/>
    <col min="3353" max="3353" width="9.5" style="1287" customWidth="1"/>
    <col min="3354" max="3354" width="11.5" style="1287"/>
    <col min="3355" max="3357" width="11.75" style="1287" customWidth="1"/>
    <col min="3358" max="3362" width="9.75" style="1287" customWidth="1"/>
    <col min="3363" max="3595" width="11.5" style="1287"/>
    <col min="3596" max="3596" width="2.75" style="1287" customWidth="1"/>
    <col min="3597" max="3597" width="11.5" style="1287"/>
    <col min="3598" max="3598" width="12.5" style="1287" customWidth="1"/>
    <col min="3599" max="3606" width="11.5" style="1287"/>
    <col min="3607" max="3607" width="15.625" style="1287" customWidth="1"/>
    <col min="3608" max="3608" width="9.75" style="1287" customWidth="1"/>
    <col min="3609" max="3609" width="9.5" style="1287" customWidth="1"/>
    <col min="3610" max="3610" width="11.5" style="1287"/>
    <col min="3611" max="3613" width="11.75" style="1287" customWidth="1"/>
    <col min="3614" max="3618" width="9.75" style="1287" customWidth="1"/>
    <col min="3619" max="3851" width="11.5" style="1287"/>
    <col min="3852" max="3852" width="2.75" style="1287" customWidth="1"/>
    <col min="3853" max="3853" width="11.5" style="1287"/>
    <col min="3854" max="3854" width="12.5" style="1287" customWidth="1"/>
    <col min="3855" max="3862" width="11.5" style="1287"/>
    <col min="3863" max="3863" width="15.625" style="1287" customWidth="1"/>
    <col min="3864" max="3864" width="9.75" style="1287" customWidth="1"/>
    <col min="3865" max="3865" width="9.5" style="1287" customWidth="1"/>
    <col min="3866" max="3866" width="11.5" style="1287"/>
    <col min="3867" max="3869" width="11.75" style="1287" customWidth="1"/>
    <col min="3870" max="3874" width="9.75" style="1287" customWidth="1"/>
    <col min="3875" max="4107" width="11.5" style="1287"/>
    <col min="4108" max="4108" width="2.75" style="1287" customWidth="1"/>
    <col min="4109" max="4109" width="11.5" style="1287"/>
    <col min="4110" max="4110" width="12.5" style="1287" customWidth="1"/>
    <col min="4111" max="4118" width="11.5" style="1287"/>
    <col min="4119" max="4119" width="15.625" style="1287" customWidth="1"/>
    <col min="4120" max="4120" width="9.75" style="1287" customWidth="1"/>
    <col min="4121" max="4121" width="9.5" style="1287" customWidth="1"/>
    <col min="4122" max="4122" width="11.5" style="1287"/>
    <col min="4123" max="4125" width="11.75" style="1287" customWidth="1"/>
    <col min="4126" max="4130" width="9.75" style="1287" customWidth="1"/>
    <col min="4131" max="4363" width="11.5" style="1287"/>
    <col min="4364" max="4364" width="2.75" style="1287" customWidth="1"/>
    <col min="4365" max="4365" width="11.5" style="1287"/>
    <col min="4366" max="4366" width="12.5" style="1287" customWidth="1"/>
    <col min="4367" max="4374" width="11.5" style="1287"/>
    <col min="4375" max="4375" width="15.625" style="1287" customWidth="1"/>
    <col min="4376" max="4376" width="9.75" style="1287" customWidth="1"/>
    <col min="4377" max="4377" width="9.5" style="1287" customWidth="1"/>
    <col min="4378" max="4378" width="11.5" style="1287"/>
    <col min="4379" max="4381" width="11.75" style="1287" customWidth="1"/>
    <col min="4382" max="4386" width="9.75" style="1287" customWidth="1"/>
    <col min="4387" max="4619" width="11.5" style="1287"/>
    <col min="4620" max="4620" width="2.75" style="1287" customWidth="1"/>
    <col min="4621" max="4621" width="11.5" style="1287"/>
    <col min="4622" max="4622" width="12.5" style="1287" customWidth="1"/>
    <col min="4623" max="4630" width="11.5" style="1287"/>
    <col min="4631" max="4631" width="15.625" style="1287" customWidth="1"/>
    <col min="4632" max="4632" width="9.75" style="1287" customWidth="1"/>
    <col min="4633" max="4633" width="9.5" style="1287" customWidth="1"/>
    <col min="4634" max="4634" width="11.5" style="1287"/>
    <col min="4635" max="4637" width="11.75" style="1287" customWidth="1"/>
    <col min="4638" max="4642" width="9.75" style="1287" customWidth="1"/>
    <col min="4643" max="4875" width="11.5" style="1287"/>
    <col min="4876" max="4876" width="2.75" style="1287" customWidth="1"/>
    <col min="4877" max="4877" width="11.5" style="1287"/>
    <col min="4878" max="4878" width="12.5" style="1287" customWidth="1"/>
    <col min="4879" max="4886" width="11.5" style="1287"/>
    <col min="4887" max="4887" width="15.625" style="1287" customWidth="1"/>
    <col min="4888" max="4888" width="9.75" style="1287" customWidth="1"/>
    <col min="4889" max="4889" width="9.5" style="1287" customWidth="1"/>
    <col min="4890" max="4890" width="11.5" style="1287"/>
    <col min="4891" max="4893" width="11.75" style="1287" customWidth="1"/>
    <col min="4894" max="4898" width="9.75" style="1287" customWidth="1"/>
    <col min="4899" max="5131" width="11.5" style="1287"/>
    <col min="5132" max="5132" width="2.75" style="1287" customWidth="1"/>
    <col min="5133" max="5133" width="11.5" style="1287"/>
    <col min="5134" max="5134" width="12.5" style="1287" customWidth="1"/>
    <col min="5135" max="5142" width="11.5" style="1287"/>
    <col min="5143" max="5143" width="15.625" style="1287" customWidth="1"/>
    <col min="5144" max="5144" width="9.75" style="1287" customWidth="1"/>
    <col min="5145" max="5145" width="9.5" style="1287" customWidth="1"/>
    <col min="5146" max="5146" width="11.5" style="1287"/>
    <col min="5147" max="5149" width="11.75" style="1287" customWidth="1"/>
    <col min="5150" max="5154" width="9.75" style="1287" customWidth="1"/>
    <col min="5155" max="5387" width="11.5" style="1287"/>
    <col min="5388" max="5388" width="2.75" style="1287" customWidth="1"/>
    <col min="5389" max="5389" width="11.5" style="1287"/>
    <col min="5390" max="5390" width="12.5" style="1287" customWidth="1"/>
    <col min="5391" max="5398" width="11.5" style="1287"/>
    <col min="5399" max="5399" width="15.625" style="1287" customWidth="1"/>
    <col min="5400" max="5400" width="9.75" style="1287" customWidth="1"/>
    <col min="5401" max="5401" width="9.5" style="1287" customWidth="1"/>
    <col min="5402" max="5402" width="11.5" style="1287"/>
    <col min="5403" max="5405" width="11.75" style="1287" customWidth="1"/>
    <col min="5406" max="5410" width="9.75" style="1287" customWidth="1"/>
    <col min="5411" max="5643" width="11.5" style="1287"/>
    <col min="5644" max="5644" width="2.75" style="1287" customWidth="1"/>
    <col min="5645" max="5645" width="11.5" style="1287"/>
    <col min="5646" max="5646" width="12.5" style="1287" customWidth="1"/>
    <col min="5647" max="5654" width="11.5" style="1287"/>
    <col min="5655" max="5655" width="15.625" style="1287" customWidth="1"/>
    <col min="5656" max="5656" width="9.75" style="1287" customWidth="1"/>
    <col min="5657" max="5657" width="9.5" style="1287" customWidth="1"/>
    <col min="5658" max="5658" width="11.5" style="1287"/>
    <col min="5659" max="5661" width="11.75" style="1287" customWidth="1"/>
    <col min="5662" max="5666" width="9.75" style="1287" customWidth="1"/>
    <col min="5667" max="5899" width="11.5" style="1287"/>
    <col min="5900" max="5900" width="2.75" style="1287" customWidth="1"/>
    <col min="5901" max="5901" width="11.5" style="1287"/>
    <col min="5902" max="5902" width="12.5" style="1287" customWidth="1"/>
    <col min="5903" max="5910" width="11.5" style="1287"/>
    <col min="5911" max="5911" width="15.625" style="1287" customWidth="1"/>
    <col min="5912" max="5912" width="9.75" style="1287" customWidth="1"/>
    <col min="5913" max="5913" width="9.5" style="1287" customWidth="1"/>
    <col min="5914" max="5914" width="11.5" style="1287"/>
    <col min="5915" max="5917" width="11.75" style="1287" customWidth="1"/>
    <col min="5918" max="5922" width="9.75" style="1287" customWidth="1"/>
    <col min="5923" max="6155" width="11.5" style="1287"/>
    <col min="6156" max="6156" width="2.75" style="1287" customWidth="1"/>
    <col min="6157" max="6157" width="11.5" style="1287"/>
    <col min="6158" max="6158" width="12.5" style="1287" customWidth="1"/>
    <col min="6159" max="6166" width="11.5" style="1287"/>
    <col min="6167" max="6167" width="15.625" style="1287" customWidth="1"/>
    <col min="6168" max="6168" width="9.75" style="1287" customWidth="1"/>
    <col min="6169" max="6169" width="9.5" style="1287" customWidth="1"/>
    <col min="6170" max="6170" width="11.5" style="1287"/>
    <col min="6171" max="6173" width="11.75" style="1287" customWidth="1"/>
    <col min="6174" max="6178" width="9.75" style="1287" customWidth="1"/>
    <col min="6179" max="6411" width="11.5" style="1287"/>
    <col min="6412" max="6412" width="2.75" style="1287" customWidth="1"/>
    <col min="6413" max="6413" width="11.5" style="1287"/>
    <col min="6414" max="6414" width="12.5" style="1287" customWidth="1"/>
    <col min="6415" max="6422" width="11.5" style="1287"/>
    <col min="6423" max="6423" width="15.625" style="1287" customWidth="1"/>
    <col min="6424" max="6424" width="9.75" style="1287" customWidth="1"/>
    <col min="6425" max="6425" width="9.5" style="1287" customWidth="1"/>
    <col min="6426" max="6426" width="11.5" style="1287"/>
    <col min="6427" max="6429" width="11.75" style="1287" customWidth="1"/>
    <col min="6430" max="6434" width="9.75" style="1287" customWidth="1"/>
    <col min="6435" max="6667" width="11.5" style="1287"/>
    <col min="6668" max="6668" width="2.75" style="1287" customWidth="1"/>
    <col min="6669" max="6669" width="11.5" style="1287"/>
    <col min="6670" max="6670" width="12.5" style="1287" customWidth="1"/>
    <col min="6671" max="6678" width="11.5" style="1287"/>
    <col min="6679" max="6679" width="15.625" style="1287" customWidth="1"/>
    <col min="6680" max="6680" width="9.75" style="1287" customWidth="1"/>
    <col min="6681" max="6681" width="9.5" style="1287" customWidth="1"/>
    <col min="6682" max="6682" width="11.5" style="1287"/>
    <col min="6683" max="6685" width="11.75" style="1287" customWidth="1"/>
    <col min="6686" max="6690" width="9.75" style="1287" customWidth="1"/>
    <col min="6691" max="6923" width="11.5" style="1287"/>
    <col min="6924" max="6924" width="2.75" style="1287" customWidth="1"/>
    <col min="6925" max="6925" width="11.5" style="1287"/>
    <col min="6926" max="6926" width="12.5" style="1287" customWidth="1"/>
    <col min="6927" max="6934" width="11.5" style="1287"/>
    <col min="6935" max="6935" width="15.625" style="1287" customWidth="1"/>
    <col min="6936" max="6936" width="9.75" style="1287" customWidth="1"/>
    <col min="6937" max="6937" width="9.5" style="1287" customWidth="1"/>
    <col min="6938" max="6938" width="11.5" style="1287"/>
    <col min="6939" max="6941" width="11.75" style="1287" customWidth="1"/>
    <col min="6942" max="6946" width="9.75" style="1287" customWidth="1"/>
    <col min="6947" max="7179" width="11.5" style="1287"/>
    <col min="7180" max="7180" width="2.75" style="1287" customWidth="1"/>
    <col min="7181" max="7181" width="11.5" style="1287"/>
    <col min="7182" max="7182" width="12.5" style="1287" customWidth="1"/>
    <col min="7183" max="7190" width="11.5" style="1287"/>
    <col min="7191" max="7191" width="15.625" style="1287" customWidth="1"/>
    <col min="7192" max="7192" width="9.75" style="1287" customWidth="1"/>
    <col min="7193" max="7193" width="9.5" style="1287" customWidth="1"/>
    <col min="7194" max="7194" width="11.5" style="1287"/>
    <col min="7195" max="7197" width="11.75" style="1287" customWidth="1"/>
    <col min="7198" max="7202" width="9.75" style="1287" customWidth="1"/>
    <col min="7203" max="7435" width="11.5" style="1287"/>
    <col min="7436" max="7436" width="2.75" style="1287" customWidth="1"/>
    <col min="7437" max="7437" width="11.5" style="1287"/>
    <col min="7438" max="7438" width="12.5" style="1287" customWidth="1"/>
    <col min="7439" max="7446" width="11.5" style="1287"/>
    <col min="7447" max="7447" width="15.625" style="1287" customWidth="1"/>
    <col min="7448" max="7448" width="9.75" style="1287" customWidth="1"/>
    <col min="7449" max="7449" width="9.5" style="1287" customWidth="1"/>
    <col min="7450" max="7450" width="11.5" style="1287"/>
    <col min="7451" max="7453" width="11.75" style="1287" customWidth="1"/>
    <col min="7454" max="7458" width="9.75" style="1287" customWidth="1"/>
    <col min="7459" max="7691" width="11.5" style="1287"/>
    <col min="7692" max="7692" width="2.75" style="1287" customWidth="1"/>
    <col min="7693" max="7693" width="11.5" style="1287"/>
    <col min="7694" max="7694" width="12.5" style="1287" customWidth="1"/>
    <col min="7695" max="7702" width="11.5" style="1287"/>
    <col min="7703" max="7703" width="15.625" style="1287" customWidth="1"/>
    <col min="7704" max="7704" width="9.75" style="1287" customWidth="1"/>
    <col min="7705" max="7705" width="9.5" style="1287" customWidth="1"/>
    <col min="7706" max="7706" width="11.5" style="1287"/>
    <col min="7707" max="7709" width="11.75" style="1287" customWidth="1"/>
    <col min="7710" max="7714" width="9.75" style="1287" customWidth="1"/>
    <col min="7715" max="7947" width="11.5" style="1287"/>
    <col min="7948" max="7948" width="2.75" style="1287" customWidth="1"/>
    <col min="7949" max="7949" width="11.5" style="1287"/>
    <col min="7950" max="7950" width="12.5" style="1287" customWidth="1"/>
    <col min="7951" max="7958" width="11.5" style="1287"/>
    <col min="7959" max="7959" width="15.625" style="1287" customWidth="1"/>
    <col min="7960" max="7960" width="9.75" style="1287" customWidth="1"/>
    <col min="7961" max="7961" width="9.5" style="1287" customWidth="1"/>
    <col min="7962" max="7962" width="11.5" style="1287"/>
    <col min="7963" max="7965" width="11.75" style="1287" customWidth="1"/>
    <col min="7966" max="7970" width="9.75" style="1287" customWidth="1"/>
    <col min="7971" max="8203" width="11.5" style="1287"/>
    <col min="8204" max="8204" width="2.75" style="1287" customWidth="1"/>
    <col min="8205" max="8205" width="11.5" style="1287"/>
    <col min="8206" max="8206" width="12.5" style="1287" customWidth="1"/>
    <col min="8207" max="8214" width="11.5" style="1287"/>
    <col min="8215" max="8215" width="15.625" style="1287" customWidth="1"/>
    <col min="8216" max="8216" width="9.75" style="1287" customWidth="1"/>
    <col min="8217" max="8217" width="9.5" style="1287" customWidth="1"/>
    <col min="8218" max="8218" width="11.5" style="1287"/>
    <col min="8219" max="8221" width="11.75" style="1287" customWidth="1"/>
    <col min="8222" max="8226" width="9.75" style="1287" customWidth="1"/>
    <col min="8227" max="8459" width="11.5" style="1287"/>
    <col min="8460" max="8460" width="2.75" style="1287" customWidth="1"/>
    <col min="8461" max="8461" width="11.5" style="1287"/>
    <col min="8462" max="8462" width="12.5" style="1287" customWidth="1"/>
    <col min="8463" max="8470" width="11.5" style="1287"/>
    <col min="8471" max="8471" width="15.625" style="1287" customWidth="1"/>
    <col min="8472" max="8472" width="9.75" style="1287" customWidth="1"/>
    <col min="8473" max="8473" width="9.5" style="1287" customWidth="1"/>
    <col min="8474" max="8474" width="11.5" style="1287"/>
    <col min="8475" max="8477" width="11.75" style="1287" customWidth="1"/>
    <col min="8478" max="8482" width="9.75" style="1287" customWidth="1"/>
    <col min="8483" max="8715" width="11.5" style="1287"/>
    <col min="8716" max="8716" width="2.75" style="1287" customWidth="1"/>
    <col min="8717" max="8717" width="11.5" style="1287"/>
    <col min="8718" max="8718" width="12.5" style="1287" customWidth="1"/>
    <col min="8719" max="8726" width="11.5" style="1287"/>
    <col min="8727" max="8727" width="15.625" style="1287" customWidth="1"/>
    <col min="8728" max="8728" width="9.75" style="1287" customWidth="1"/>
    <col min="8729" max="8729" width="9.5" style="1287" customWidth="1"/>
    <col min="8730" max="8730" width="11.5" style="1287"/>
    <col min="8731" max="8733" width="11.75" style="1287" customWidth="1"/>
    <col min="8734" max="8738" width="9.75" style="1287" customWidth="1"/>
    <col min="8739" max="8971" width="11.5" style="1287"/>
    <col min="8972" max="8972" width="2.75" style="1287" customWidth="1"/>
    <col min="8973" max="8973" width="11.5" style="1287"/>
    <col min="8974" max="8974" width="12.5" style="1287" customWidth="1"/>
    <col min="8975" max="8982" width="11.5" style="1287"/>
    <col min="8983" max="8983" width="15.625" style="1287" customWidth="1"/>
    <col min="8984" max="8984" width="9.75" style="1287" customWidth="1"/>
    <col min="8985" max="8985" width="9.5" style="1287" customWidth="1"/>
    <col min="8986" max="8986" width="11.5" style="1287"/>
    <col min="8987" max="8989" width="11.75" style="1287" customWidth="1"/>
    <col min="8990" max="8994" width="9.75" style="1287" customWidth="1"/>
    <col min="8995" max="9227" width="11.5" style="1287"/>
    <col min="9228" max="9228" width="2.75" style="1287" customWidth="1"/>
    <col min="9229" max="9229" width="11.5" style="1287"/>
    <col min="9230" max="9230" width="12.5" style="1287" customWidth="1"/>
    <col min="9231" max="9238" width="11.5" style="1287"/>
    <col min="9239" max="9239" width="15.625" style="1287" customWidth="1"/>
    <col min="9240" max="9240" width="9.75" style="1287" customWidth="1"/>
    <col min="9241" max="9241" width="9.5" style="1287" customWidth="1"/>
    <col min="9242" max="9242" width="11.5" style="1287"/>
    <col min="9243" max="9245" width="11.75" style="1287" customWidth="1"/>
    <col min="9246" max="9250" width="9.75" style="1287" customWidth="1"/>
    <col min="9251" max="9483" width="11.5" style="1287"/>
    <col min="9484" max="9484" width="2.75" style="1287" customWidth="1"/>
    <col min="9485" max="9485" width="11.5" style="1287"/>
    <col min="9486" max="9486" width="12.5" style="1287" customWidth="1"/>
    <col min="9487" max="9494" width="11.5" style="1287"/>
    <col min="9495" max="9495" width="15.625" style="1287" customWidth="1"/>
    <col min="9496" max="9496" width="9.75" style="1287" customWidth="1"/>
    <col min="9497" max="9497" width="9.5" style="1287" customWidth="1"/>
    <col min="9498" max="9498" width="11.5" style="1287"/>
    <col min="9499" max="9501" width="11.75" style="1287" customWidth="1"/>
    <col min="9502" max="9506" width="9.75" style="1287" customWidth="1"/>
    <col min="9507" max="9739" width="11.5" style="1287"/>
    <col min="9740" max="9740" width="2.75" style="1287" customWidth="1"/>
    <col min="9741" max="9741" width="11.5" style="1287"/>
    <col min="9742" max="9742" width="12.5" style="1287" customWidth="1"/>
    <col min="9743" max="9750" width="11.5" style="1287"/>
    <col min="9751" max="9751" width="15.625" style="1287" customWidth="1"/>
    <col min="9752" max="9752" width="9.75" style="1287" customWidth="1"/>
    <col min="9753" max="9753" width="9.5" style="1287" customWidth="1"/>
    <col min="9754" max="9754" width="11.5" style="1287"/>
    <col min="9755" max="9757" width="11.75" style="1287" customWidth="1"/>
    <col min="9758" max="9762" width="9.75" style="1287" customWidth="1"/>
    <col min="9763" max="9995" width="11.5" style="1287"/>
    <col min="9996" max="9996" width="2.75" style="1287" customWidth="1"/>
    <col min="9997" max="9997" width="11.5" style="1287"/>
    <col min="9998" max="9998" width="12.5" style="1287" customWidth="1"/>
    <col min="9999" max="10006" width="11.5" style="1287"/>
    <col min="10007" max="10007" width="15.625" style="1287" customWidth="1"/>
    <col min="10008" max="10008" width="9.75" style="1287" customWidth="1"/>
    <col min="10009" max="10009" width="9.5" style="1287" customWidth="1"/>
    <col min="10010" max="10010" width="11.5" style="1287"/>
    <col min="10011" max="10013" width="11.75" style="1287" customWidth="1"/>
    <col min="10014" max="10018" width="9.75" style="1287" customWidth="1"/>
    <col min="10019" max="10251" width="11.5" style="1287"/>
    <col min="10252" max="10252" width="2.75" style="1287" customWidth="1"/>
    <col min="10253" max="10253" width="11.5" style="1287"/>
    <col min="10254" max="10254" width="12.5" style="1287" customWidth="1"/>
    <col min="10255" max="10262" width="11.5" style="1287"/>
    <col min="10263" max="10263" width="15.625" style="1287" customWidth="1"/>
    <col min="10264" max="10264" width="9.75" style="1287" customWidth="1"/>
    <col min="10265" max="10265" width="9.5" style="1287" customWidth="1"/>
    <col min="10266" max="10266" width="11.5" style="1287"/>
    <col min="10267" max="10269" width="11.75" style="1287" customWidth="1"/>
    <col min="10270" max="10274" width="9.75" style="1287" customWidth="1"/>
    <col min="10275" max="10507" width="11.5" style="1287"/>
    <col min="10508" max="10508" width="2.75" style="1287" customWidth="1"/>
    <col min="10509" max="10509" width="11.5" style="1287"/>
    <col min="10510" max="10510" width="12.5" style="1287" customWidth="1"/>
    <col min="10511" max="10518" width="11.5" style="1287"/>
    <col min="10519" max="10519" width="15.625" style="1287" customWidth="1"/>
    <col min="10520" max="10520" width="9.75" style="1287" customWidth="1"/>
    <col min="10521" max="10521" width="9.5" style="1287" customWidth="1"/>
    <col min="10522" max="10522" width="11.5" style="1287"/>
    <col min="10523" max="10525" width="11.75" style="1287" customWidth="1"/>
    <col min="10526" max="10530" width="9.75" style="1287" customWidth="1"/>
    <col min="10531" max="10763" width="11.5" style="1287"/>
    <col min="10764" max="10764" width="2.75" style="1287" customWidth="1"/>
    <col min="10765" max="10765" width="11.5" style="1287"/>
    <col min="10766" max="10766" width="12.5" style="1287" customWidth="1"/>
    <col min="10767" max="10774" width="11.5" style="1287"/>
    <col min="10775" max="10775" width="15.625" style="1287" customWidth="1"/>
    <col min="10776" max="10776" width="9.75" style="1287" customWidth="1"/>
    <col min="10777" max="10777" width="9.5" style="1287" customWidth="1"/>
    <col min="10778" max="10778" width="11.5" style="1287"/>
    <col min="10779" max="10781" width="11.75" style="1287" customWidth="1"/>
    <col min="10782" max="10786" width="9.75" style="1287" customWidth="1"/>
    <col min="10787" max="11019" width="11.5" style="1287"/>
    <col min="11020" max="11020" width="2.75" style="1287" customWidth="1"/>
    <col min="11021" max="11021" width="11.5" style="1287"/>
    <col min="11022" max="11022" width="12.5" style="1287" customWidth="1"/>
    <col min="11023" max="11030" width="11.5" style="1287"/>
    <col min="11031" max="11031" width="15.625" style="1287" customWidth="1"/>
    <col min="11032" max="11032" width="9.75" style="1287" customWidth="1"/>
    <col min="11033" max="11033" width="9.5" style="1287" customWidth="1"/>
    <col min="11034" max="11034" width="11.5" style="1287"/>
    <col min="11035" max="11037" width="11.75" style="1287" customWidth="1"/>
    <col min="11038" max="11042" width="9.75" style="1287" customWidth="1"/>
    <col min="11043" max="11275" width="11.5" style="1287"/>
    <col min="11276" max="11276" width="2.75" style="1287" customWidth="1"/>
    <col min="11277" max="11277" width="11.5" style="1287"/>
    <col min="11278" max="11278" width="12.5" style="1287" customWidth="1"/>
    <col min="11279" max="11286" width="11.5" style="1287"/>
    <col min="11287" max="11287" width="15.625" style="1287" customWidth="1"/>
    <col min="11288" max="11288" width="9.75" style="1287" customWidth="1"/>
    <col min="11289" max="11289" width="9.5" style="1287" customWidth="1"/>
    <col min="11290" max="11290" width="11.5" style="1287"/>
    <col min="11291" max="11293" width="11.75" style="1287" customWidth="1"/>
    <col min="11294" max="11298" width="9.75" style="1287" customWidth="1"/>
    <col min="11299" max="11531" width="11.5" style="1287"/>
    <col min="11532" max="11532" width="2.75" style="1287" customWidth="1"/>
    <col min="11533" max="11533" width="11.5" style="1287"/>
    <col min="11534" max="11534" width="12.5" style="1287" customWidth="1"/>
    <col min="11535" max="11542" width="11.5" style="1287"/>
    <col min="11543" max="11543" width="15.625" style="1287" customWidth="1"/>
    <col min="11544" max="11544" width="9.75" style="1287" customWidth="1"/>
    <col min="11545" max="11545" width="9.5" style="1287" customWidth="1"/>
    <col min="11546" max="11546" width="11.5" style="1287"/>
    <col min="11547" max="11549" width="11.75" style="1287" customWidth="1"/>
    <col min="11550" max="11554" width="9.75" style="1287" customWidth="1"/>
    <col min="11555" max="11787" width="11.5" style="1287"/>
    <col min="11788" max="11788" width="2.75" style="1287" customWidth="1"/>
    <col min="11789" max="11789" width="11.5" style="1287"/>
    <col min="11790" max="11790" width="12.5" style="1287" customWidth="1"/>
    <col min="11791" max="11798" width="11.5" style="1287"/>
    <col min="11799" max="11799" width="15.625" style="1287" customWidth="1"/>
    <col min="11800" max="11800" width="9.75" style="1287" customWidth="1"/>
    <col min="11801" max="11801" width="9.5" style="1287" customWidth="1"/>
    <col min="11802" max="11802" width="11.5" style="1287"/>
    <col min="11803" max="11805" width="11.75" style="1287" customWidth="1"/>
    <col min="11806" max="11810" width="9.75" style="1287" customWidth="1"/>
    <col min="11811" max="12043" width="11.5" style="1287"/>
    <col min="12044" max="12044" width="2.75" style="1287" customWidth="1"/>
    <col min="12045" max="12045" width="11.5" style="1287"/>
    <col min="12046" max="12046" width="12.5" style="1287" customWidth="1"/>
    <col min="12047" max="12054" width="11.5" style="1287"/>
    <col min="12055" max="12055" width="15.625" style="1287" customWidth="1"/>
    <col min="12056" max="12056" width="9.75" style="1287" customWidth="1"/>
    <col min="12057" max="12057" width="9.5" style="1287" customWidth="1"/>
    <col min="12058" max="12058" width="11.5" style="1287"/>
    <col min="12059" max="12061" width="11.75" style="1287" customWidth="1"/>
    <col min="12062" max="12066" width="9.75" style="1287" customWidth="1"/>
    <col min="12067" max="12299" width="11.5" style="1287"/>
    <col min="12300" max="12300" width="2.75" style="1287" customWidth="1"/>
    <col min="12301" max="12301" width="11.5" style="1287"/>
    <col min="12302" max="12302" width="12.5" style="1287" customWidth="1"/>
    <col min="12303" max="12310" width="11.5" style="1287"/>
    <col min="12311" max="12311" width="15.625" style="1287" customWidth="1"/>
    <col min="12312" max="12312" width="9.75" style="1287" customWidth="1"/>
    <col min="12313" max="12313" width="9.5" style="1287" customWidth="1"/>
    <col min="12314" max="12314" width="11.5" style="1287"/>
    <col min="12315" max="12317" width="11.75" style="1287" customWidth="1"/>
    <col min="12318" max="12322" width="9.75" style="1287" customWidth="1"/>
    <col min="12323" max="12555" width="11.5" style="1287"/>
    <col min="12556" max="12556" width="2.75" style="1287" customWidth="1"/>
    <col min="12557" max="12557" width="11.5" style="1287"/>
    <col min="12558" max="12558" width="12.5" style="1287" customWidth="1"/>
    <col min="12559" max="12566" width="11.5" style="1287"/>
    <col min="12567" max="12567" width="15.625" style="1287" customWidth="1"/>
    <col min="12568" max="12568" width="9.75" style="1287" customWidth="1"/>
    <col min="12569" max="12569" width="9.5" style="1287" customWidth="1"/>
    <col min="12570" max="12570" width="11.5" style="1287"/>
    <col min="12571" max="12573" width="11.75" style="1287" customWidth="1"/>
    <col min="12574" max="12578" width="9.75" style="1287" customWidth="1"/>
    <col min="12579" max="12811" width="11.5" style="1287"/>
    <col min="12812" max="12812" width="2.75" style="1287" customWidth="1"/>
    <col min="12813" max="12813" width="11.5" style="1287"/>
    <col min="12814" max="12814" width="12.5" style="1287" customWidth="1"/>
    <col min="12815" max="12822" width="11.5" style="1287"/>
    <col min="12823" max="12823" width="15.625" style="1287" customWidth="1"/>
    <col min="12824" max="12824" width="9.75" style="1287" customWidth="1"/>
    <col min="12825" max="12825" width="9.5" style="1287" customWidth="1"/>
    <col min="12826" max="12826" width="11.5" style="1287"/>
    <col min="12827" max="12829" width="11.75" style="1287" customWidth="1"/>
    <col min="12830" max="12834" width="9.75" style="1287" customWidth="1"/>
    <col min="12835" max="13067" width="11.5" style="1287"/>
    <col min="13068" max="13068" width="2.75" style="1287" customWidth="1"/>
    <col min="13069" max="13069" width="11.5" style="1287"/>
    <col min="13070" max="13070" width="12.5" style="1287" customWidth="1"/>
    <col min="13071" max="13078" width="11.5" style="1287"/>
    <col min="13079" max="13079" width="15.625" style="1287" customWidth="1"/>
    <col min="13080" max="13080" width="9.75" style="1287" customWidth="1"/>
    <col min="13081" max="13081" width="9.5" style="1287" customWidth="1"/>
    <col min="13082" max="13082" width="11.5" style="1287"/>
    <col min="13083" max="13085" width="11.75" style="1287" customWidth="1"/>
    <col min="13086" max="13090" width="9.75" style="1287" customWidth="1"/>
    <col min="13091" max="13323" width="11.5" style="1287"/>
    <col min="13324" max="13324" width="2.75" style="1287" customWidth="1"/>
    <col min="13325" max="13325" width="11.5" style="1287"/>
    <col min="13326" max="13326" width="12.5" style="1287" customWidth="1"/>
    <col min="13327" max="13334" width="11.5" style="1287"/>
    <col min="13335" max="13335" width="15.625" style="1287" customWidth="1"/>
    <col min="13336" max="13336" width="9.75" style="1287" customWidth="1"/>
    <col min="13337" max="13337" width="9.5" style="1287" customWidth="1"/>
    <col min="13338" max="13338" width="11.5" style="1287"/>
    <col min="13339" max="13341" width="11.75" style="1287" customWidth="1"/>
    <col min="13342" max="13346" width="9.75" style="1287" customWidth="1"/>
    <col min="13347" max="13579" width="11.5" style="1287"/>
    <col min="13580" max="13580" width="2.75" style="1287" customWidth="1"/>
    <col min="13581" max="13581" width="11.5" style="1287"/>
    <col min="13582" max="13582" width="12.5" style="1287" customWidth="1"/>
    <col min="13583" max="13590" width="11.5" style="1287"/>
    <col min="13591" max="13591" width="15.625" style="1287" customWidth="1"/>
    <col min="13592" max="13592" width="9.75" style="1287" customWidth="1"/>
    <col min="13593" max="13593" width="9.5" style="1287" customWidth="1"/>
    <col min="13594" max="13594" width="11.5" style="1287"/>
    <col min="13595" max="13597" width="11.75" style="1287" customWidth="1"/>
    <col min="13598" max="13602" width="9.75" style="1287" customWidth="1"/>
    <col min="13603" max="13835" width="11.5" style="1287"/>
    <col min="13836" max="13836" width="2.75" style="1287" customWidth="1"/>
    <col min="13837" max="13837" width="11.5" style="1287"/>
    <col min="13838" max="13838" width="12.5" style="1287" customWidth="1"/>
    <col min="13839" max="13846" width="11.5" style="1287"/>
    <col min="13847" max="13847" width="15.625" style="1287" customWidth="1"/>
    <col min="13848" max="13848" width="9.75" style="1287" customWidth="1"/>
    <col min="13849" max="13849" width="9.5" style="1287" customWidth="1"/>
    <col min="13850" max="13850" width="11.5" style="1287"/>
    <col min="13851" max="13853" width="11.75" style="1287" customWidth="1"/>
    <col min="13854" max="13858" width="9.75" style="1287" customWidth="1"/>
    <col min="13859" max="14091" width="11.5" style="1287"/>
    <col min="14092" max="14092" width="2.75" style="1287" customWidth="1"/>
    <col min="14093" max="14093" width="11.5" style="1287"/>
    <col min="14094" max="14094" width="12.5" style="1287" customWidth="1"/>
    <col min="14095" max="14102" width="11.5" style="1287"/>
    <col min="14103" max="14103" width="15.625" style="1287" customWidth="1"/>
    <col min="14104" max="14104" width="9.75" style="1287" customWidth="1"/>
    <col min="14105" max="14105" width="9.5" style="1287" customWidth="1"/>
    <col min="14106" max="14106" width="11.5" style="1287"/>
    <col min="14107" max="14109" width="11.75" style="1287" customWidth="1"/>
    <col min="14110" max="14114" width="9.75" style="1287" customWidth="1"/>
    <col min="14115" max="14347" width="11.5" style="1287"/>
    <col min="14348" max="14348" width="2.75" style="1287" customWidth="1"/>
    <col min="14349" max="14349" width="11.5" style="1287"/>
    <col min="14350" max="14350" width="12.5" style="1287" customWidth="1"/>
    <col min="14351" max="14358" width="11.5" style="1287"/>
    <col min="14359" max="14359" width="15.625" style="1287" customWidth="1"/>
    <col min="14360" max="14360" width="9.75" style="1287" customWidth="1"/>
    <col min="14361" max="14361" width="9.5" style="1287" customWidth="1"/>
    <col min="14362" max="14362" width="11.5" style="1287"/>
    <col min="14363" max="14365" width="11.75" style="1287" customWidth="1"/>
    <col min="14366" max="14370" width="9.75" style="1287" customWidth="1"/>
    <col min="14371" max="14603" width="11.5" style="1287"/>
    <col min="14604" max="14604" width="2.75" style="1287" customWidth="1"/>
    <col min="14605" max="14605" width="11.5" style="1287"/>
    <col min="14606" max="14606" width="12.5" style="1287" customWidth="1"/>
    <col min="14607" max="14614" width="11.5" style="1287"/>
    <col min="14615" max="14615" width="15.625" style="1287" customWidth="1"/>
    <col min="14616" max="14616" width="9.75" style="1287" customWidth="1"/>
    <col min="14617" max="14617" width="9.5" style="1287" customWidth="1"/>
    <col min="14618" max="14618" width="11.5" style="1287"/>
    <col min="14619" max="14621" width="11.75" style="1287" customWidth="1"/>
    <col min="14622" max="14626" width="9.75" style="1287" customWidth="1"/>
    <col min="14627" max="14859" width="11.5" style="1287"/>
    <col min="14860" max="14860" width="2.75" style="1287" customWidth="1"/>
    <col min="14861" max="14861" width="11.5" style="1287"/>
    <col min="14862" max="14862" width="12.5" style="1287" customWidth="1"/>
    <col min="14863" max="14870" width="11.5" style="1287"/>
    <col min="14871" max="14871" width="15.625" style="1287" customWidth="1"/>
    <col min="14872" max="14872" width="9.75" style="1287" customWidth="1"/>
    <col min="14873" max="14873" width="9.5" style="1287" customWidth="1"/>
    <col min="14874" max="14874" width="11.5" style="1287"/>
    <col min="14875" max="14877" width="11.75" style="1287" customWidth="1"/>
    <col min="14878" max="14882" width="9.75" style="1287" customWidth="1"/>
    <col min="14883" max="15115" width="11.5" style="1287"/>
    <col min="15116" max="15116" width="2.75" style="1287" customWidth="1"/>
    <col min="15117" max="15117" width="11.5" style="1287"/>
    <col min="15118" max="15118" width="12.5" style="1287" customWidth="1"/>
    <col min="15119" max="15126" width="11.5" style="1287"/>
    <col min="15127" max="15127" width="15.625" style="1287" customWidth="1"/>
    <col min="15128" max="15128" width="9.75" style="1287" customWidth="1"/>
    <col min="15129" max="15129" width="9.5" style="1287" customWidth="1"/>
    <col min="15130" max="15130" width="11.5" style="1287"/>
    <col min="15131" max="15133" width="11.75" style="1287" customWidth="1"/>
    <col min="15134" max="15138" width="9.75" style="1287" customWidth="1"/>
    <col min="15139" max="15371" width="11.5" style="1287"/>
    <col min="15372" max="15372" width="2.75" style="1287" customWidth="1"/>
    <col min="15373" max="15373" width="11.5" style="1287"/>
    <col min="15374" max="15374" width="12.5" style="1287" customWidth="1"/>
    <col min="15375" max="15382" width="11.5" style="1287"/>
    <col min="15383" max="15383" width="15.625" style="1287" customWidth="1"/>
    <col min="15384" max="15384" width="9.75" style="1287" customWidth="1"/>
    <col min="15385" max="15385" width="9.5" style="1287" customWidth="1"/>
    <col min="15386" max="15386" width="11.5" style="1287"/>
    <col min="15387" max="15389" width="11.75" style="1287" customWidth="1"/>
    <col min="15390" max="15394" width="9.75" style="1287" customWidth="1"/>
    <col min="15395" max="15627" width="11.5" style="1287"/>
    <col min="15628" max="15628" width="2.75" style="1287" customWidth="1"/>
    <col min="15629" max="15629" width="11.5" style="1287"/>
    <col min="15630" max="15630" width="12.5" style="1287" customWidth="1"/>
    <col min="15631" max="15638" width="11.5" style="1287"/>
    <col min="15639" max="15639" width="15.625" style="1287" customWidth="1"/>
    <col min="15640" max="15640" width="9.75" style="1287" customWidth="1"/>
    <col min="15641" max="15641" width="9.5" style="1287" customWidth="1"/>
    <col min="15642" max="15642" width="11.5" style="1287"/>
    <col min="15643" max="15645" width="11.75" style="1287" customWidth="1"/>
    <col min="15646" max="15650" width="9.75" style="1287" customWidth="1"/>
    <col min="15651" max="15883" width="11.5" style="1287"/>
    <col min="15884" max="15884" width="2.75" style="1287" customWidth="1"/>
    <col min="15885" max="15885" width="11.5" style="1287"/>
    <col min="15886" max="15886" width="12.5" style="1287" customWidth="1"/>
    <col min="15887" max="15894" width="11.5" style="1287"/>
    <col min="15895" max="15895" width="15.625" style="1287" customWidth="1"/>
    <col min="15896" max="15896" width="9.75" style="1287" customWidth="1"/>
    <col min="15897" max="15897" width="9.5" style="1287" customWidth="1"/>
    <col min="15898" max="15898" width="11.5" style="1287"/>
    <col min="15899" max="15901" width="11.75" style="1287" customWidth="1"/>
    <col min="15902" max="15906" width="9.75" style="1287" customWidth="1"/>
    <col min="15907" max="16139" width="11.5" style="1287"/>
    <col min="16140" max="16140" width="2.75" style="1287" customWidth="1"/>
    <col min="16141" max="16141" width="11.5" style="1287"/>
    <col min="16142" max="16142" width="12.5" style="1287" customWidth="1"/>
    <col min="16143" max="16150" width="11.5" style="1287"/>
    <col min="16151" max="16151" width="15.625" style="1287" customWidth="1"/>
    <col min="16152" max="16152" width="9.75" style="1287" customWidth="1"/>
    <col min="16153" max="16153" width="9.5" style="1287" customWidth="1"/>
    <col min="16154" max="16154" width="11.5" style="1287"/>
    <col min="16155" max="16157" width="11.75" style="1287" customWidth="1"/>
    <col min="16158" max="16162" width="9.75" style="1287" customWidth="1"/>
    <col min="16163" max="16384" width="11.5" style="1287"/>
  </cols>
  <sheetData>
    <row r="1" spans="2:40" s="595" customFormat="1" ht="31.7" customHeight="1" x14ac:dyDescent="0.25">
      <c r="B1" s="575"/>
      <c r="C1" s="597"/>
      <c r="E1" s="663" t="str">
        <f>Startmenue!G2</f>
        <v>Version 1.2</v>
      </c>
      <c r="G1" s="597"/>
      <c r="X1" s="597"/>
      <c r="AH1" s="597"/>
      <c r="AM1" s="597"/>
      <c r="AN1" s="597"/>
    </row>
    <row r="2" spans="2:40" s="664" customFormat="1" ht="2.85" customHeight="1" x14ac:dyDescent="0.2">
      <c r="C2" s="665">
        <f>COLUMNS($C2:C2)</f>
        <v>1</v>
      </c>
      <c r="D2" s="665">
        <f>COLUMNS($C2:D2)</f>
        <v>2</v>
      </c>
      <c r="E2" s="665"/>
      <c r="F2" s="665">
        <f>COLUMNS($C2:F2)</f>
        <v>4</v>
      </c>
      <c r="G2" s="665">
        <f>COLUMNS($C2:G2)</f>
        <v>5</v>
      </c>
      <c r="H2" s="665"/>
      <c r="I2" s="665">
        <f>COLUMNS($C2:I2)</f>
        <v>7</v>
      </c>
      <c r="J2" s="665">
        <f>COLUMNS($C2:J2)</f>
        <v>8</v>
      </c>
      <c r="K2" s="665"/>
      <c r="L2" s="665">
        <f>COLUMNS($C2:L2)</f>
        <v>10</v>
      </c>
      <c r="M2" s="665">
        <f>COLUMNS($C2:M2)</f>
        <v>11</v>
      </c>
      <c r="N2" s="665"/>
      <c r="O2" s="665">
        <f>COLUMNS($C2:O2)</f>
        <v>13</v>
      </c>
      <c r="P2" s="665">
        <f>COLUMNS($C2:P2)</f>
        <v>14</v>
      </c>
      <c r="Q2" s="665">
        <f>COLUMNS($C2:Q2)</f>
        <v>15</v>
      </c>
      <c r="R2" s="665">
        <f>COLUMNS($C2:R2)</f>
        <v>16</v>
      </c>
      <c r="S2" s="665">
        <f>COLUMNS($C2:S2)</f>
        <v>17</v>
      </c>
      <c r="T2" s="665">
        <f>COLUMNS($C2:T2)</f>
        <v>18</v>
      </c>
      <c r="U2" s="665">
        <f>COLUMNS($C2:U2)</f>
        <v>19</v>
      </c>
      <c r="V2" s="665">
        <f>COLUMNS($C2:V2)</f>
        <v>20</v>
      </c>
      <c r="W2" s="665">
        <f>COLUMNS($C2:W2)</f>
        <v>21</v>
      </c>
      <c r="X2" s="665">
        <f>COLUMNS($C2:X2)</f>
        <v>22</v>
      </c>
    </row>
    <row r="3" spans="2:40" ht="0.75" customHeight="1" x14ac:dyDescent="0.2">
      <c r="Z3" s="666"/>
    </row>
    <row r="4" spans="2:40" ht="0.75" customHeight="1" x14ac:dyDescent="0.2"/>
    <row r="5" spans="2:40" ht="14.25" x14ac:dyDescent="0.2">
      <c r="B5" s="1286" t="s">
        <v>4368</v>
      </c>
      <c r="D5" s="1286" t="s">
        <v>4038</v>
      </c>
    </row>
    <row r="6" spans="2:40" ht="14.25" x14ac:dyDescent="0.2">
      <c r="B6" s="1286" t="s">
        <v>4369</v>
      </c>
      <c r="D6" s="1288" t="s">
        <v>4039</v>
      </c>
    </row>
    <row r="7" spans="2:40" ht="14.25" x14ac:dyDescent="0.2">
      <c r="D7" s="1288" t="s">
        <v>4040</v>
      </c>
    </row>
    <row r="8" spans="2:40" ht="14.25" x14ac:dyDescent="0.2">
      <c r="D8" s="1288" t="s">
        <v>4620</v>
      </c>
    </row>
    <row r="9" spans="2:40" ht="14.25" x14ac:dyDescent="0.2">
      <c r="D9" s="1288" t="s">
        <v>4041</v>
      </c>
    </row>
    <row r="11" spans="2:40" s="1291" customFormat="1" x14ac:dyDescent="0.2">
      <c r="C11" s="667">
        <f>COLUMNS($C11:C$11)</f>
        <v>1</v>
      </c>
      <c r="D11" s="667">
        <f>COLUMNS($C11:D$11)</f>
        <v>2</v>
      </c>
      <c r="E11" s="667">
        <f>COLUMNS($C11:E$11)</f>
        <v>3</v>
      </c>
      <c r="F11" s="667">
        <f>COLUMNS($C11:F$11)</f>
        <v>4</v>
      </c>
      <c r="G11" s="667">
        <f>COLUMNS($C11:G$11)</f>
        <v>5</v>
      </c>
      <c r="H11" s="667">
        <f>COLUMNS($C11:H$11)</f>
        <v>6</v>
      </c>
      <c r="I11" s="667">
        <f>COLUMNS($C11:I$11)</f>
        <v>7</v>
      </c>
      <c r="J11" s="667">
        <f>COLUMNS($C11:J$11)</f>
        <v>8</v>
      </c>
      <c r="K11" s="667">
        <f>COLUMNS($C11:K$11)</f>
        <v>9</v>
      </c>
      <c r="L11" s="667">
        <f>COLUMNS($C11:L$11)</f>
        <v>10</v>
      </c>
      <c r="M11" s="667">
        <f>COLUMNS($C11:M$11)</f>
        <v>11</v>
      </c>
      <c r="N11" s="667">
        <f>COLUMNS($C11:N$11)</f>
        <v>12</v>
      </c>
      <c r="O11" s="667">
        <f>COLUMNS($C11:O$11)</f>
        <v>13</v>
      </c>
      <c r="P11" s="667">
        <f>COLUMNS($C11:P$11)</f>
        <v>14</v>
      </c>
      <c r="Q11" s="667">
        <f>COLUMNS($C11:Q$11)</f>
        <v>15</v>
      </c>
      <c r="R11" s="667">
        <f>COLUMNS($C11:R$11)</f>
        <v>16</v>
      </c>
      <c r="S11" s="667">
        <f>COLUMNS($C11:S$11)</f>
        <v>17</v>
      </c>
      <c r="T11" s="667">
        <f>COLUMNS($C11:T$11)</f>
        <v>18</v>
      </c>
      <c r="U11" s="667">
        <f>COLUMNS($C11:U$11)</f>
        <v>19</v>
      </c>
      <c r="V11" s="667">
        <f>COLUMNS($C11:V$11)</f>
        <v>20</v>
      </c>
      <c r="W11" s="667">
        <f>COLUMNS($C11:W$11)</f>
        <v>21</v>
      </c>
      <c r="X11" s="667">
        <f>COLUMNS($C11:X$11)</f>
        <v>22</v>
      </c>
    </row>
    <row r="12" spans="2:40" s="1291" customFormat="1" x14ac:dyDescent="0.2">
      <c r="C12" s="667"/>
      <c r="D12" s="667"/>
      <c r="E12" s="667"/>
      <c r="F12" s="667">
        <f>COLUMNS($F12:F$12)</f>
        <v>1</v>
      </c>
      <c r="G12" s="667">
        <f>COLUMNS($F12:G$12)</f>
        <v>2</v>
      </c>
      <c r="H12" s="667">
        <f>COLUMNS($F12:H$12)</f>
        <v>3</v>
      </c>
      <c r="I12" s="667">
        <f>COLUMNS($F12:I$12)</f>
        <v>4</v>
      </c>
      <c r="J12" s="667">
        <f>COLUMNS($F12:J$12)</f>
        <v>5</v>
      </c>
      <c r="K12" s="667">
        <f>COLUMNS($F12:K$12)</f>
        <v>6</v>
      </c>
      <c r="L12" s="667">
        <f>COLUMNS($F12:L$12)</f>
        <v>7</v>
      </c>
      <c r="M12" s="667">
        <f>COLUMNS($F12:M$12)</f>
        <v>8</v>
      </c>
      <c r="N12" s="667">
        <f>COLUMNS($F12:N$12)</f>
        <v>9</v>
      </c>
      <c r="O12" s="667">
        <f>COLUMNS($F12:O$12)</f>
        <v>10</v>
      </c>
      <c r="P12" s="667">
        <f>COLUMNS($F12:P$12)</f>
        <v>11</v>
      </c>
      <c r="Q12" s="667">
        <f>COLUMNS($F12:Q$12)</f>
        <v>12</v>
      </c>
      <c r="R12" s="667">
        <f>COLUMNS($F12:R$12)</f>
        <v>13</v>
      </c>
      <c r="S12" s="667">
        <f>COLUMNS($F12:S$12)</f>
        <v>14</v>
      </c>
      <c r="T12" s="667">
        <f>COLUMNS($F12:T$12)</f>
        <v>15</v>
      </c>
      <c r="U12" s="667">
        <f>COLUMNS($F12:U$12)</f>
        <v>16</v>
      </c>
      <c r="V12" s="667">
        <f>COLUMNS($F12:V$12)</f>
        <v>17</v>
      </c>
      <c r="W12" s="667">
        <f>COLUMNS($F12:W$12)</f>
        <v>18</v>
      </c>
      <c r="X12" s="667">
        <f>COLUMNS($F12:X$12)</f>
        <v>19</v>
      </c>
    </row>
    <row r="13" spans="2:40" s="1291" customFormat="1" x14ac:dyDescent="0.2">
      <c r="C13" s="667"/>
      <c r="D13" s="667"/>
      <c r="E13" s="667"/>
      <c r="F13" s="667"/>
      <c r="G13" s="667"/>
      <c r="H13" s="667"/>
      <c r="I13" s="667">
        <f>COLUMNS($I$13:I13)</f>
        <v>1</v>
      </c>
      <c r="J13" s="667">
        <f>COLUMNS($I$13:J13)</f>
        <v>2</v>
      </c>
      <c r="K13" s="667">
        <f>COLUMNS($I$13:K13)</f>
        <v>3</v>
      </c>
      <c r="L13" s="667">
        <f>COLUMNS($I$13:L13)</f>
        <v>4</v>
      </c>
      <c r="M13" s="667">
        <f>COLUMNS($I$13:M13)</f>
        <v>5</v>
      </c>
      <c r="N13" s="667">
        <f>COLUMNS($I$13:N13)</f>
        <v>6</v>
      </c>
      <c r="O13" s="667">
        <f>COLUMNS($I$13:O13)</f>
        <v>7</v>
      </c>
      <c r="P13" s="667">
        <f>COLUMNS($I$13:P13)</f>
        <v>8</v>
      </c>
      <c r="Q13" s="667">
        <f>COLUMNS($I$13:Q13)</f>
        <v>9</v>
      </c>
      <c r="R13" s="667">
        <f>COLUMNS($I$13:R13)</f>
        <v>10</v>
      </c>
      <c r="S13" s="667">
        <f>COLUMNS($I$13:S13)</f>
        <v>11</v>
      </c>
      <c r="T13" s="667">
        <f>COLUMNS($I$13:T13)</f>
        <v>12</v>
      </c>
      <c r="U13" s="667">
        <f>COLUMNS($I$13:U13)</f>
        <v>13</v>
      </c>
      <c r="V13" s="667">
        <f>COLUMNS($I$13:V13)</f>
        <v>14</v>
      </c>
      <c r="W13" s="667">
        <f>COLUMNS($I$13:W13)</f>
        <v>15</v>
      </c>
      <c r="X13" s="667">
        <f>COLUMNS($I$13:X13)</f>
        <v>16</v>
      </c>
    </row>
    <row r="14" spans="2:40" s="1291" customFormat="1" x14ac:dyDescent="0.2">
      <c r="C14" s="667"/>
      <c r="D14" s="667"/>
      <c r="E14" s="667"/>
      <c r="F14" s="667"/>
      <c r="G14" s="667"/>
      <c r="H14" s="667"/>
      <c r="I14" s="667"/>
      <c r="J14" s="667"/>
      <c r="K14" s="667"/>
      <c r="L14" s="667">
        <f>COLUMNS($L$14:L14)</f>
        <v>1</v>
      </c>
      <c r="M14" s="667">
        <f>COLUMNS($L$14:M14)</f>
        <v>2</v>
      </c>
      <c r="N14" s="667">
        <f>COLUMNS($L$14:N14)</f>
        <v>3</v>
      </c>
      <c r="O14" s="667">
        <f>COLUMNS($L$14:O14)</f>
        <v>4</v>
      </c>
      <c r="P14" s="667">
        <f>COLUMNS($L$14:P14)</f>
        <v>5</v>
      </c>
      <c r="Q14" s="667">
        <f>COLUMNS($L$14:Q14)</f>
        <v>6</v>
      </c>
      <c r="R14" s="667">
        <f>COLUMNS($L$14:R14)</f>
        <v>7</v>
      </c>
      <c r="S14" s="667">
        <f>COLUMNS($L$14:S14)</f>
        <v>8</v>
      </c>
      <c r="T14" s="667">
        <f>COLUMNS($L$14:T14)</f>
        <v>9</v>
      </c>
      <c r="U14" s="667">
        <f>COLUMNS($L$14:U14)</f>
        <v>10</v>
      </c>
      <c r="V14" s="667">
        <f>COLUMNS($L$14:V14)</f>
        <v>11</v>
      </c>
      <c r="W14" s="667">
        <f>COLUMNS($L$14:W14)</f>
        <v>12</v>
      </c>
      <c r="X14" s="667">
        <f>COLUMNS($L$14:X14)</f>
        <v>13</v>
      </c>
    </row>
    <row r="15" spans="2:40" s="1291" customFormat="1" x14ac:dyDescent="0.2">
      <c r="C15" s="667"/>
      <c r="D15" s="667"/>
      <c r="E15" s="667"/>
      <c r="F15" s="667"/>
      <c r="G15" s="667"/>
      <c r="H15" s="667"/>
      <c r="I15" s="667"/>
      <c r="J15" s="667"/>
      <c r="K15" s="667"/>
      <c r="L15" s="667"/>
      <c r="M15" s="667"/>
      <c r="N15" s="667"/>
      <c r="O15" s="667">
        <f>COLUMNS($O$15:O15)</f>
        <v>1</v>
      </c>
      <c r="P15" s="667">
        <f>COLUMNS($O$15:P15)</f>
        <v>2</v>
      </c>
      <c r="Q15" s="667">
        <f>COLUMNS($O$15:Q15)</f>
        <v>3</v>
      </c>
      <c r="R15" s="667">
        <f>COLUMNS($O$15:R15)</f>
        <v>4</v>
      </c>
      <c r="S15" s="667">
        <f>COLUMNS($O$15:S15)</f>
        <v>5</v>
      </c>
      <c r="T15" s="667">
        <f>COLUMNS($O$15:T15)</f>
        <v>6</v>
      </c>
      <c r="U15" s="667">
        <f>COLUMNS($O$15:U15)</f>
        <v>7</v>
      </c>
      <c r="V15" s="667">
        <f>COLUMNS($O$15:V15)</f>
        <v>8</v>
      </c>
      <c r="W15" s="667">
        <f>COLUMNS($O$15:W15)</f>
        <v>9</v>
      </c>
      <c r="X15" s="667">
        <f>COLUMNS($O$15:X15)</f>
        <v>10</v>
      </c>
    </row>
    <row r="16" spans="2:40" s="1291" customFormat="1" x14ac:dyDescent="0.2">
      <c r="B16" s="1292"/>
      <c r="C16" s="698">
        <f>COLUMNS($C$16:C16)</f>
        <v>1</v>
      </c>
      <c r="D16" s="698">
        <f>COLUMNS($C$16:D16)</f>
        <v>2</v>
      </c>
      <c r="E16" s="698">
        <f>COLUMNS($C$16:E16)</f>
        <v>3</v>
      </c>
      <c r="F16" s="698">
        <f>COLUMNS($F$16:F16)</f>
        <v>1</v>
      </c>
      <c r="G16" s="698">
        <f>COLUMNS($F$16:G16)</f>
        <v>2</v>
      </c>
      <c r="H16" s="698">
        <f>COLUMNS($F$16:H16)</f>
        <v>3</v>
      </c>
      <c r="I16" s="698">
        <f>COLUMNS($I$16:I16)</f>
        <v>1</v>
      </c>
      <c r="J16" s="698">
        <f>COLUMNS($I$16:J16)</f>
        <v>2</v>
      </c>
      <c r="K16" s="698">
        <f>COLUMNS($I$16:K16)</f>
        <v>3</v>
      </c>
      <c r="L16" s="698">
        <f>COLUMNS($L$16:L16)</f>
        <v>1</v>
      </c>
      <c r="M16" s="698">
        <f>COLUMNS($L$16:M16)</f>
        <v>2</v>
      </c>
      <c r="N16" s="698">
        <f>COLUMNS($L$16:N16)</f>
        <v>3</v>
      </c>
      <c r="O16" s="698">
        <f>COLUMNS($O$16:O16)</f>
        <v>1</v>
      </c>
      <c r="P16" s="698">
        <f>COLUMNS($O$16:P16)</f>
        <v>2</v>
      </c>
      <c r="Q16" s="698">
        <f>COLUMNS($O$16:Q16)</f>
        <v>3</v>
      </c>
      <c r="R16" s="698">
        <f>COLUMNS(R$16:$U16)</f>
        <v>4</v>
      </c>
      <c r="S16" s="698">
        <f>COLUMNS(S$16:$U16)</f>
        <v>3</v>
      </c>
      <c r="T16" s="698">
        <f>COLUMNS(T$16:$U16)</f>
        <v>2</v>
      </c>
      <c r="U16" s="698">
        <f>COLUMNS($U$16:U16)</f>
        <v>1</v>
      </c>
      <c r="V16" s="698">
        <f>COLUMNS($U$16:V16)</f>
        <v>2</v>
      </c>
      <c r="W16" s="698">
        <f>COLUMNS($U$16:W16)</f>
        <v>3</v>
      </c>
      <c r="X16" s="698">
        <f>COLUMNS($U$16:X16)</f>
        <v>4</v>
      </c>
    </row>
    <row r="17" spans="1:25" s="1446" customFormat="1" ht="14.25" x14ac:dyDescent="0.2">
      <c r="A17" s="1442"/>
      <c r="B17" s="1443"/>
      <c r="C17" s="2004" t="s">
        <v>4042</v>
      </c>
      <c r="D17" s="2005"/>
      <c r="E17" s="2005"/>
      <c r="F17" s="2005"/>
      <c r="G17" s="2005"/>
      <c r="H17" s="2005"/>
      <c r="I17" s="2005"/>
      <c r="J17" s="2005"/>
      <c r="K17" s="2005"/>
      <c r="L17" s="2005"/>
      <c r="M17" s="2005"/>
      <c r="N17" s="2005"/>
      <c r="O17" s="2005"/>
      <c r="P17" s="2005"/>
      <c r="Q17" s="2008"/>
      <c r="R17" s="2008"/>
      <c r="S17" s="2008"/>
      <c r="T17" s="2008"/>
      <c r="U17" s="2008"/>
      <c r="V17" s="2008"/>
      <c r="W17" s="2008"/>
      <c r="X17" s="1444"/>
      <c r="Y17" s="1445"/>
    </row>
    <row r="18" spans="1:25" s="1446" customFormat="1" ht="14.25" x14ac:dyDescent="0.2">
      <c r="A18" s="1442"/>
      <c r="B18" s="1447"/>
      <c r="C18" s="2006" t="s">
        <v>2255</v>
      </c>
      <c r="D18" s="2007"/>
      <c r="E18" s="2007"/>
      <c r="F18" s="2006" t="s">
        <v>3322</v>
      </c>
      <c r="G18" s="2007"/>
      <c r="H18" s="2007"/>
      <c r="I18" s="2006" t="s">
        <v>3323</v>
      </c>
      <c r="J18" s="2007"/>
      <c r="K18" s="2007"/>
      <c r="L18" s="2006" t="s">
        <v>3324</v>
      </c>
      <c r="M18" s="2007"/>
      <c r="N18" s="2007"/>
      <c r="O18" s="2006" t="s">
        <v>3325</v>
      </c>
      <c r="P18" s="2007"/>
      <c r="Q18" s="2007"/>
      <c r="R18" s="2006" t="s">
        <v>3368</v>
      </c>
      <c r="S18" s="2007"/>
      <c r="T18" s="2007"/>
      <c r="U18" s="2006" t="s">
        <v>3369</v>
      </c>
      <c r="V18" s="2007"/>
      <c r="W18" s="2007"/>
      <c r="X18" s="1448"/>
      <c r="Y18" s="1445"/>
    </row>
    <row r="19" spans="1:25" s="1455" customFormat="1" x14ac:dyDescent="0.2">
      <c r="A19" s="1453"/>
      <c r="B19" s="1454"/>
      <c r="D19" s="1456">
        <v>1</v>
      </c>
      <c r="E19" s="1456"/>
      <c r="F19" s="1456"/>
      <c r="G19" s="1456">
        <v>2</v>
      </c>
      <c r="H19" s="1456"/>
      <c r="I19" s="1456"/>
      <c r="J19" s="1456">
        <v>3</v>
      </c>
      <c r="K19" s="1456"/>
      <c r="L19" s="1456"/>
      <c r="M19" s="1456">
        <v>4</v>
      </c>
      <c r="N19" s="1456"/>
      <c r="O19" s="1456"/>
      <c r="P19" s="1456">
        <v>5</v>
      </c>
      <c r="Q19" s="1456"/>
      <c r="R19" s="1456"/>
      <c r="S19" s="1456">
        <v>6</v>
      </c>
      <c r="T19" s="1456"/>
      <c r="U19" s="1456"/>
      <c r="V19" s="1456">
        <v>7</v>
      </c>
      <c r="W19" s="1456"/>
      <c r="X19" s="1452"/>
      <c r="Y19" s="1457"/>
    </row>
    <row r="20" spans="1:25" s="1446" customFormat="1" ht="51" x14ac:dyDescent="0.2">
      <c r="A20" s="1442"/>
      <c r="B20" s="1447" t="s">
        <v>3326</v>
      </c>
      <c r="C20" s="1449" t="s">
        <v>3327</v>
      </c>
      <c r="D20" s="1450" t="s">
        <v>3328</v>
      </c>
      <c r="E20" s="1451" t="s">
        <v>4083</v>
      </c>
      <c r="F20" s="1449" t="s">
        <v>3327</v>
      </c>
      <c r="G20" s="1450" t="s">
        <v>3328</v>
      </c>
      <c r="H20" s="1451" t="s">
        <v>4083</v>
      </c>
      <c r="I20" s="1449" t="s">
        <v>3327</v>
      </c>
      <c r="J20" s="1450" t="s">
        <v>3328</v>
      </c>
      <c r="K20" s="1451" t="s">
        <v>4083</v>
      </c>
      <c r="L20" s="1449" t="s">
        <v>3327</v>
      </c>
      <c r="M20" s="1450" t="s">
        <v>3328</v>
      </c>
      <c r="N20" s="1451" t="s">
        <v>4083</v>
      </c>
      <c r="O20" s="1449" t="s">
        <v>3327</v>
      </c>
      <c r="P20" s="1450" t="s">
        <v>3328</v>
      </c>
      <c r="Q20" s="1451" t="s">
        <v>4083</v>
      </c>
      <c r="R20" s="1449" t="s">
        <v>3327</v>
      </c>
      <c r="S20" s="1450" t="s">
        <v>3328</v>
      </c>
      <c r="T20" s="1451" t="s">
        <v>4083</v>
      </c>
      <c r="U20" s="1449" t="s">
        <v>3327</v>
      </c>
      <c r="V20" s="1450" t="s">
        <v>3328</v>
      </c>
      <c r="W20" s="1451" t="s">
        <v>4083</v>
      </c>
      <c r="X20" s="1448" t="s">
        <v>3329</v>
      </c>
      <c r="Y20" s="1445"/>
    </row>
    <row r="21" spans="1:25" x14ac:dyDescent="0.2">
      <c r="A21" s="1293"/>
      <c r="B21" s="1297"/>
      <c r="X21" s="1298"/>
      <c r="Y21" s="1296"/>
    </row>
    <row r="22" spans="1:25" x14ac:dyDescent="0.2">
      <c r="A22" s="1293"/>
      <c r="B22" s="1297"/>
      <c r="X22" s="1298"/>
      <c r="Y22" s="1296"/>
    </row>
    <row r="23" spans="1:25" x14ac:dyDescent="0.2">
      <c r="A23" s="1293"/>
      <c r="B23" s="1297"/>
      <c r="C23" s="668">
        <v>1</v>
      </c>
      <c r="D23" s="668">
        <v>30</v>
      </c>
      <c r="E23" s="668"/>
      <c r="F23" s="668">
        <v>1</v>
      </c>
      <c r="G23" s="668">
        <v>30</v>
      </c>
      <c r="H23" s="668"/>
      <c r="I23" s="668">
        <v>1</v>
      </c>
      <c r="J23" s="668">
        <v>30</v>
      </c>
      <c r="K23" s="668"/>
      <c r="L23" s="668">
        <v>1</v>
      </c>
      <c r="M23" s="668">
        <v>30</v>
      </c>
      <c r="N23" s="668"/>
      <c r="O23" s="668">
        <v>1</v>
      </c>
      <c r="P23" s="668">
        <v>30</v>
      </c>
      <c r="Q23" s="668"/>
      <c r="R23" s="668">
        <v>1</v>
      </c>
      <c r="S23" s="668">
        <v>30</v>
      </c>
      <c r="T23" s="668"/>
      <c r="U23" s="668">
        <v>1</v>
      </c>
      <c r="V23" s="668">
        <v>30</v>
      </c>
      <c r="W23" s="668"/>
      <c r="X23" s="1298" t="s">
        <v>3330</v>
      </c>
      <c r="Y23" s="1296"/>
    </row>
    <row r="24" spans="1:25" x14ac:dyDescent="0.2">
      <c r="A24" s="1293"/>
      <c r="B24" s="1300" t="s">
        <v>3330</v>
      </c>
      <c r="C24" s="669" t="s">
        <v>4043</v>
      </c>
      <c r="D24" s="670">
        <v>30</v>
      </c>
      <c r="E24" s="671">
        <v>15</v>
      </c>
      <c r="F24" s="669" t="s">
        <v>4043</v>
      </c>
      <c r="G24" s="670">
        <v>30</v>
      </c>
      <c r="H24" s="671">
        <v>15</v>
      </c>
      <c r="I24" s="669" t="s">
        <v>4044</v>
      </c>
      <c r="J24" s="670">
        <v>30</v>
      </c>
      <c r="K24" s="671">
        <v>15</v>
      </c>
      <c r="L24" s="669" t="s">
        <v>4044</v>
      </c>
      <c r="M24" s="670">
        <v>30</v>
      </c>
      <c r="N24" s="671">
        <v>15</v>
      </c>
      <c r="O24" s="669" t="s">
        <v>4084</v>
      </c>
      <c r="P24" s="670">
        <v>30</v>
      </c>
      <c r="Q24" s="670">
        <v>30</v>
      </c>
      <c r="R24" s="670" t="s">
        <v>4084</v>
      </c>
      <c r="S24" s="670">
        <v>30</v>
      </c>
      <c r="T24" s="670">
        <v>30</v>
      </c>
      <c r="U24" s="670" t="s">
        <v>4084</v>
      </c>
      <c r="V24" s="670">
        <v>30</v>
      </c>
      <c r="W24" s="670">
        <v>30</v>
      </c>
      <c r="X24" s="1298" t="s">
        <v>3330</v>
      </c>
      <c r="Y24" s="1296"/>
    </row>
    <row r="25" spans="1:25" x14ac:dyDescent="0.2">
      <c r="A25" s="1293"/>
      <c r="B25" s="1300" t="s">
        <v>3336</v>
      </c>
      <c r="C25" s="669">
        <v>5</v>
      </c>
      <c r="D25" s="670">
        <v>20</v>
      </c>
      <c r="E25" s="671">
        <v>10</v>
      </c>
      <c r="F25" s="669">
        <v>5</v>
      </c>
      <c r="G25" s="670">
        <v>20</v>
      </c>
      <c r="H25" s="671">
        <v>10</v>
      </c>
      <c r="I25" s="669">
        <v>5.5</v>
      </c>
      <c r="J25" s="670">
        <v>20</v>
      </c>
      <c r="K25" s="670">
        <v>20</v>
      </c>
      <c r="L25" s="669">
        <v>5.5</v>
      </c>
      <c r="M25" s="670">
        <v>20</v>
      </c>
      <c r="N25" s="670">
        <v>20</v>
      </c>
      <c r="O25" s="669">
        <v>6</v>
      </c>
      <c r="P25" s="670">
        <v>25</v>
      </c>
      <c r="Q25" s="670">
        <v>25</v>
      </c>
      <c r="R25" s="672">
        <v>6</v>
      </c>
      <c r="S25" s="670">
        <v>25</v>
      </c>
      <c r="T25" s="670">
        <v>25</v>
      </c>
      <c r="U25" s="672">
        <v>6</v>
      </c>
      <c r="V25" s="670">
        <v>25</v>
      </c>
      <c r="W25" s="670">
        <v>25</v>
      </c>
      <c r="X25" s="1298" t="s">
        <v>3336</v>
      </c>
      <c r="Y25" s="1296"/>
    </row>
    <row r="26" spans="1:25" x14ac:dyDescent="0.2">
      <c r="A26" s="1293"/>
      <c r="B26" s="1297"/>
      <c r="C26" s="669">
        <v>5.0999999999999996</v>
      </c>
      <c r="D26" s="670">
        <v>20</v>
      </c>
      <c r="E26" s="671">
        <v>10</v>
      </c>
      <c r="F26" s="669">
        <v>5.0999999999999996</v>
      </c>
      <c r="G26" s="670">
        <v>20</v>
      </c>
      <c r="H26" s="671">
        <v>10</v>
      </c>
      <c r="I26" s="669">
        <v>5.6</v>
      </c>
      <c r="J26" s="670">
        <v>20</v>
      </c>
      <c r="K26" s="670">
        <v>20</v>
      </c>
      <c r="L26" s="669">
        <v>5.6</v>
      </c>
      <c r="M26" s="670">
        <v>20</v>
      </c>
      <c r="N26" s="670">
        <v>20</v>
      </c>
      <c r="O26" s="669">
        <v>6.1</v>
      </c>
      <c r="P26" s="670">
        <v>25</v>
      </c>
      <c r="Q26" s="670">
        <v>25</v>
      </c>
      <c r="R26" s="672">
        <v>6.1</v>
      </c>
      <c r="S26" s="670">
        <v>25</v>
      </c>
      <c r="T26" s="670">
        <v>25</v>
      </c>
      <c r="U26" s="672">
        <v>6.1</v>
      </c>
      <c r="V26" s="670">
        <v>25</v>
      </c>
      <c r="W26" s="670">
        <v>25</v>
      </c>
      <c r="X26" s="1298" t="s">
        <v>3336</v>
      </c>
      <c r="Y26" s="1296"/>
    </row>
    <row r="27" spans="1:25" x14ac:dyDescent="0.2">
      <c r="A27" s="1293"/>
      <c r="B27" s="1297"/>
      <c r="C27" s="669">
        <v>5.2</v>
      </c>
      <c r="D27" s="670">
        <v>20</v>
      </c>
      <c r="E27" s="671">
        <v>10</v>
      </c>
      <c r="F27" s="669">
        <v>5.2</v>
      </c>
      <c r="G27" s="670">
        <v>20</v>
      </c>
      <c r="H27" s="671">
        <v>10</v>
      </c>
      <c r="I27" s="669">
        <v>5.7</v>
      </c>
      <c r="J27" s="670">
        <v>20</v>
      </c>
      <c r="K27" s="670">
        <v>20</v>
      </c>
      <c r="L27" s="669">
        <v>5.7</v>
      </c>
      <c r="M27" s="670">
        <v>20</v>
      </c>
      <c r="N27" s="670">
        <v>20</v>
      </c>
      <c r="O27" s="669">
        <v>6.2</v>
      </c>
      <c r="P27" s="670">
        <v>25</v>
      </c>
      <c r="Q27" s="670">
        <v>25</v>
      </c>
      <c r="R27" s="672">
        <v>6.2</v>
      </c>
      <c r="S27" s="670">
        <v>25</v>
      </c>
      <c r="T27" s="670">
        <v>25</v>
      </c>
      <c r="U27" s="672">
        <v>6.2</v>
      </c>
      <c r="V27" s="670">
        <v>25</v>
      </c>
      <c r="W27" s="670">
        <v>25</v>
      </c>
      <c r="X27" s="1298" t="s">
        <v>3336</v>
      </c>
      <c r="Y27" s="1296"/>
    </row>
    <row r="28" spans="1:25" x14ac:dyDescent="0.2">
      <c r="A28" s="1293"/>
      <c r="B28" s="1297"/>
      <c r="C28" s="669">
        <v>5.3</v>
      </c>
      <c r="D28" s="670">
        <v>20</v>
      </c>
      <c r="E28" s="671">
        <v>10</v>
      </c>
      <c r="F28" s="669">
        <v>5.3</v>
      </c>
      <c r="G28" s="670">
        <v>20</v>
      </c>
      <c r="H28" s="671">
        <v>10</v>
      </c>
      <c r="I28" s="669">
        <v>5.8</v>
      </c>
      <c r="J28" s="670">
        <v>20</v>
      </c>
      <c r="K28" s="670">
        <v>20</v>
      </c>
      <c r="L28" s="669">
        <v>5.8</v>
      </c>
      <c r="M28" s="670">
        <v>20</v>
      </c>
      <c r="N28" s="670">
        <v>20</v>
      </c>
      <c r="O28" s="669">
        <v>6.3</v>
      </c>
      <c r="P28" s="670">
        <v>25</v>
      </c>
      <c r="Q28" s="670">
        <v>25</v>
      </c>
      <c r="R28" s="672">
        <v>6.3</v>
      </c>
      <c r="S28" s="670">
        <v>25</v>
      </c>
      <c r="T28" s="670">
        <v>25</v>
      </c>
      <c r="U28" s="672">
        <v>6.3</v>
      </c>
      <c r="V28" s="670">
        <v>25</v>
      </c>
      <c r="W28" s="670">
        <v>25</v>
      </c>
      <c r="X28" s="1298" t="s">
        <v>3336</v>
      </c>
      <c r="Y28" s="1296"/>
    </row>
    <row r="29" spans="1:25" x14ac:dyDescent="0.2">
      <c r="A29" s="1293"/>
      <c r="B29" s="1297"/>
      <c r="C29" s="669">
        <v>5.4</v>
      </c>
      <c r="D29" s="670">
        <v>20</v>
      </c>
      <c r="E29" s="671">
        <v>10</v>
      </c>
      <c r="F29" s="669">
        <v>5.4</v>
      </c>
      <c r="G29" s="670">
        <v>20</v>
      </c>
      <c r="H29" s="671">
        <v>10</v>
      </c>
      <c r="I29" s="669">
        <v>5.9</v>
      </c>
      <c r="J29" s="670">
        <v>20</v>
      </c>
      <c r="K29" s="670">
        <v>20</v>
      </c>
      <c r="L29" s="669">
        <v>5.9</v>
      </c>
      <c r="M29" s="670">
        <v>20</v>
      </c>
      <c r="N29" s="670">
        <v>20</v>
      </c>
      <c r="O29" s="669">
        <v>6.4</v>
      </c>
      <c r="P29" s="670">
        <v>25</v>
      </c>
      <c r="Q29" s="670">
        <v>25</v>
      </c>
      <c r="R29" s="672">
        <v>6.4</v>
      </c>
      <c r="S29" s="670">
        <v>25</v>
      </c>
      <c r="T29" s="670">
        <v>25</v>
      </c>
      <c r="U29" s="672">
        <v>6.4</v>
      </c>
      <c r="V29" s="670">
        <v>25</v>
      </c>
      <c r="W29" s="670">
        <v>25</v>
      </c>
      <c r="X29" s="1298" t="s">
        <v>3336</v>
      </c>
      <c r="Y29" s="1296"/>
    </row>
    <row r="30" spans="1:25" x14ac:dyDescent="0.2">
      <c r="A30" s="1293"/>
      <c r="B30" s="1300" t="s">
        <v>3336</v>
      </c>
      <c r="C30" s="669">
        <v>5.5</v>
      </c>
      <c r="D30" s="670">
        <v>20</v>
      </c>
      <c r="E30" s="671">
        <v>10</v>
      </c>
      <c r="F30" s="669">
        <v>5.5</v>
      </c>
      <c r="G30" s="670">
        <v>20</v>
      </c>
      <c r="H30" s="671">
        <v>10</v>
      </c>
      <c r="I30" s="669">
        <v>6</v>
      </c>
      <c r="J30" s="670">
        <v>20</v>
      </c>
      <c r="K30" s="670">
        <v>20</v>
      </c>
      <c r="L30" s="669">
        <v>6</v>
      </c>
      <c r="M30" s="670">
        <v>20</v>
      </c>
      <c r="N30" s="670">
        <v>20</v>
      </c>
      <c r="O30" s="669"/>
      <c r="P30" s="670"/>
      <c r="Q30" s="670"/>
      <c r="R30" s="672"/>
      <c r="S30" s="670"/>
      <c r="T30" s="670"/>
      <c r="U30" s="672"/>
      <c r="V30" s="670"/>
      <c r="W30" s="670"/>
      <c r="X30" s="1298" t="s">
        <v>3336</v>
      </c>
      <c r="Y30" s="1296"/>
    </row>
    <row r="31" spans="1:25" x14ac:dyDescent="0.2">
      <c r="A31" s="1293"/>
      <c r="B31" s="1297"/>
      <c r="C31" s="669">
        <v>5.6</v>
      </c>
      <c r="D31" s="670">
        <v>10</v>
      </c>
      <c r="E31" s="670">
        <v>10</v>
      </c>
      <c r="F31" s="669">
        <v>5.6</v>
      </c>
      <c r="G31" s="670">
        <v>10</v>
      </c>
      <c r="H31" s="670">
        <v>10</v>
      </c>
      <c r="I31" s="669">
        <v>6.1</v>
      </c>
      <c r="J31" s="670">
        <v>10</v>
      </c>
      <c r="K31" s="670">
        <v>10</v>
      </c>
      <c r="L31" s="669">
        <v>6.1</v>
      </c>
      <c r="M31" s="670">
        <v>10</v>
      </c>
      <c r="N31" s="670">
        <v>10</v>
      </c>
      <c r="O31" s="669">
        <v>6.5</v>
      </c>
      <c r="P31" s="670">
        <v>25</v>
      </c>
      <c r="Q31" s="670">
        <v>25</v>
      </c>
      <c r="R31" s="672">
        <v>6.5</v>
      </c>
      <c r="S31" s="670">
        <v>25</v>
      </c>
      <c r="T31" s="670">
        <v>25</v>
      </c>
      <c r="U31" s="672">
        <v>6.5</v>
      </c>
      <c r="V31" s="670">
        <v>25</v>
      </c>
      <c r="W31" s="670">
        <v>25</v>
      </c>
      <c r="X31" s="1298" t="s">
        <v>3336</v>
      </c>
      <c r="Y31" s="1296"/>
    </row>
    <row r="32" spans="1:25" x14ac:dyDescent="0.2">
      <c r="A32" s="1293"/>
      <c r="B32" s="1297"/>
      <c r="C32" s="669">
        <v>5.7</v>
      </c>
      <c r="D32" s="670">
        <v>10</v>
      </c>
      <c r="E32" s="670">
        <v>10</v>
      </c>
      <c r="F32" s="669">
        <v>5.7</v>
      </c>
      <c r="G32" s="670">
        <v>10</v>
      </c>
      <c r="H32" s="670">
        <v>10</v>
      </c>
      <c r="I32" s="669">
        <v>6.2</v>
      </c>
      <c r="J32" s="670">
        <v>10</v>
      </c>
      <c r="K32" s="670">
        <v>10</v>
      </c>
      <c r="L32" s="669">
        <v>6.2</v>
      </c>
      <c r="M32" s="670">
        <v>10</v>
      </c>
      <c r="N32" s="670">
        <v>10</v>
      </c>
      <c r="O32" s="669">
        <v>6.6</v>
      </c>
      <c r="P32" s="670">
        <v>15</v>
      </c>
      <c r="Q32" s="670">
        <v>15</v>
      </c>
      <c r="R32" s="672">
        <v>6.6</v>
      </c>
      <c r="S32" s="670">
        <v>15</v>
      </c>
      <c r="T32" s="670">
        <v>15</v>
      </c>
      <c r="U32" s="672">
        <v>6.6</v>
      </c>
      <c r="V32" s="670">
        <v>15</v>
      </c>
      <c r="W32" s="670">
        <v>15</v>
      </c>
      <c r="X32" s="1298" t="s">
        <v>3336</v>
      </c>
      <c r="Y32" s="1296"/>
    </row>
    <row r="33" spans="1:35" x14ac:dyDescent="0.2">
      <c r="A33" s="1293"/>
      <c r="B33" s="1297"/>
      <c r="C33" s="669">
        <v>5.8</v>
      </c>
      <c r="D33" s="670">
        <v>10</v>
      </c>
      <c r="E33" s="670">
        <v>10</v>
      </c>
      <c r="F33" s="669">
        <v>5.8</v>
      </c>
      <c r="G33" s="670">
        <v>10</v>
      </c>
      <c r="H33" s="670">
        <v>10</v>
      </c>
      <c r="I33" s="669">
        <v>6.3</v>
      </c>
      <c r="J33" s="670">
        <v>10</v>
      </c>
      <c r="K33" s="670">
        <v>10</v>
      </c>
      <c r="L33" s="669">
        <v>6.3</v>
      </c>
      <c r="M33" s="670">
        <v>10</v>
      </c>
      <c r="N33" s="670">
        <v>10</v>
      </c>
      <c r="O33" s="669">
        <v>6.7</v>
      </c>
      <c r="P33" s="670">
        <v>15</v>
      </c>
      <c r="Q33" s="670">
        <v>15</v>
      </c>
      <c r="R33" s="672">
        <v>6.7</v>
      </c>
      <c r="S33" s="670">
        <v>15</v>
      </c>
      <c r="T33" s="670">
        <v>15</v>
      </c>
      <c r="U33" s="672">
        <v>6.7</v>
      </c>
      <c r="V33" s="670">
        <v>15</v>
      </c>
      <c r="W33" s="670">
        <v>15</v>
      </c>
      <c r="X33" s="1298" t="s">
        <v>3336</v>
      </c>
      <c r="Y33" s="1296"/>
    </row>
    <row r="34" spans="1:35" x14ac:dyDescent="0.2">
      <c r="A34" s="1293"/>
      <c r="B34" s="1297"/>
      <c r="C34" s="669">
        <v>5.9</v>
      </c>
      <c r="D34" s="670">
        <v>10</v>
      </c>
      <c r="E34" s="670">
        <v>10</v>
      </c>
      <c r="F34" s="669">
        <v>5.9</v>
      </c>
      <c r="G34" s="670">
        <v>10</v>
      </c>
      <c r="H34" s="670">
        <v>10</v>
      </c>
      <c r="I34" s="669">
        <v>6.4</v>
      </c>
      <c r="J34" s="670">
        <v>10</v>
      </c>
      <c r="K34" s="670">
        <v>10</v>
      </c>
      <c r="L34" s="669">
        <v>6.4</v>
      </c>
      <c r="M34" s="670">
        <v>10</v>
      </c>
      <c r="N34" s="670">
        <v>10</v>
      </c>
      <c r="O34" s="669">
        <v>6.8</v>
      </c>
      <c r="P34" s="670">
        <v>15</v>
      </c>
      <c r="Q34" s="670">
        <v>15</v>
      </c>
      <c r="R34" s="672">
        <v>6.8</v>
      </c>
      <c r="S34" s="670">
        <v>15</v>
      </c>
      <c r="T34" s="670">
        <v>15</v>
      </c>
      <c r="U34" s="672">
        <v>6.8</v>
      </c>
      <c r="V34" s="670">
        <v>15</v>
      </c>
      <c r="W34" s="670">
        <v>15</v>
      </c>
      <c r="X34" s="1298" t="s">
        <v>3336</v>
      </c>
      <c r="Y34" s="1296"/>
    </row>
    <row r="35" spans="1:35" x14ac:dyDescent="0.2">
      <c r="A35" s="1293"/>
      <c r="B35" s="1300" t="s">
        <v>3338</v>
      </c>
      <c r="C35" s="669" t="s">
        <v>3858</v>
      </c>
      <c r="D35" s="670">
        <v>0</v>
      </c>
      <c r="E35" s="670">
        <v>0</v>
      </c>
      <c r="F35" s="669" t="s">
        <v>3858</v>
      </c>
      <c r="G35" s="670">
        <v>0</v>
      </c>
      <c r="H35" s="670">
        <v>0</v>
      </c>
      <c r="I35" s="669" t="s">
        <v>4045</v>
      </c>
      <c r="J35" s="670">
        <v>0</v>
      </c>
      <c r="K35" s="670">
        <v>0</v>
      </c>
      <c r="L35" s="669" t="s">
        <v>4045</v>
      </c>
      <c r="M35" s="670">
        <v>0</v>
      </c>
      <c r="N35" s="670">
        <v>0</v>
      </c>
      <c r="O35" s="669" t="s">
        <v>3342</v>
      </c>
      <c r="P35" s="670">
        <v>0</v>
      </c>
      <c r="Q35" s="670">
        <v>0</v>
      </c>
      <c r="R35" s="672" t="s">
        <v>3342</v>
      </c>
      <c r="S35" s="670">
        <v>0</v>
      </c>
      <c r="T35" s="670">
        <v>0</v>
      </c>
      <c r="U35" s="672" t="s">
        <v>3342</v>
      </c>
      <c r="V35" s="670">
        <v>0</v>
      </c>
      <c r="W35" s="670">
        <v>0</v>
      </c>
      <c r="X35" s="1298" t="s">
        <v>3338</v>
      </c>
      <c r="Y35" s="1296"/>
      <c r="AD35" s="669" t="s">
        <v>4085</v>
      </c>
      <c r="AE35" s="669" t="s">
        <v>3858</v>
      </c>
      <c r="AF35" s="669" t="s">
        <v>4045</v>
      </c>
      <c r="AG35" s="669" t="s">
        <v>4045</v>
      </c>
      <c r="AH35" s="669" t="s">
        <v>3342</v>
      </c>
      <c r="AI35" s="669" t="s">
        <v>3342</v>
      </c>
    </row>
    <row r="36" spans="1:35" x14ac:dyDescent="0.2">
      <c r="A36" s="1293"/>
      <c r="B36" s="1300" t="s">
        <v>3338</v>
      </c>
      <c r="C36" s="669">
        <v>6</v>
      </c>
      <c r="D36" s="670">
        <v>0</v>
      </c>
      <c r="E36" s="670">
        <v>0</v>
      </c>
      <c r="F36" s="669">
        <v>6</v>
      </c>
      <c r="G36" s="670">
        <v>0</v>
      </c>
      <c r="H36" s="670">
        <v>0</v>
      </c>
      <c r="I36" s="669">
        <v>6.5</v>
      </c>
      <c r="J36" s="670">
        <v>0</v>
      </c>
      <c r="K36" s="670">
        <v>0</v>
      </c>
      <c r="L36" s="669">
        <v>6.5</v>
      </c>
      <c r="M36" s="670">
        <v>0</v>
      </c>
      <c r="N36" s="670">
        <v>0</v>
      </c>
      <c r="O36" s="669">
        <v>6.9</v>
      </c>
      <c r="P36" s="670">
        <v>0</v>
      </c>
      <c r="Q36" s="670">
        <v>0</v>
      </c>
      <c r="R36" s="672">
        <v>6.9</v>
      </c>
      <c r="S36" s="670">
        <v>0</v>
      </c>
      <c r="T36" s="670">
        <v>0</v>
      </c>
      <c r="U36" s="672">
        <v>6.9</v>
      </c>
      <c r="V36" s="670">
        <v>0</v>
      </c>
      <c r="W36" s="670">
        <v>0</v>
      </c>
      <c r="X36" s="1298" t="s">
        <v>3338</v>
      </c>
      <c r="Y36" s="1296"/>
      <c r="AD36" s="669"/>
      <c r="AE36" s="669"/>
      <c r="AF36" s="669"/>
      <c r="AG36" s="669"/>
      <c r="AH36" s="669"/>
      <c r="AI36" s="669"/>
    </row>
    <row r="37" spans="1:35" x14ac:dyDescent="0.2">
      <c r="A37" s="1293"/>
      <c r="B37" s="1301"/>
      <c r="C37" s="692">
        <v>10</v>
      </c>
      <c r="D37" s="692">
        <v>0</v>
      </c>
      <c r="E37" s="692"/>
      <c r="F37" s="692">
        <v>10</v>
      </c>
      <c r="G37" s="692">
        <v>0</v>
      </c>
      <c r="H37" s="692"/>
      <c r="I37" s="692">
        <v>10</v>
      </c>
      <c r="J37" s="692">
        <v>0</v>
      </c>
      <c r="K37" s="692"/>
      <c r="L37" s="692">
        <v>10</v>
      </c>
      <c r="M37" s="692">
        <v>0</v>
      </c>
      <c r="N37" s="692"/>
      <c r="O37" s="692">
        <v>10</v>
      </c>
      <c r="P37" s="692">
        <v>0</v>
      </c>
      <c r="Q37" s="692"/>
      <c r="R37" s="692">
        <v>10</v>
      </c>
      <c r="S37" s="692">
        <v>0</v>
      </c>
      <c r="T37" s="692"/>
      <c r="U37" s="692">
        <v>10</v>
      </c>
      <c r="V37" s="692">
        <v>0</v>
      </c>
      <c r="W37" s="692"/>
      <c r="X37" s="1302" t="s">
        <v>3338</v>
      </c>
      <c r="Y37" s="1303"/>
      <c r="Z37" s="1304"/>
      <c r="AA37" s="1304"/>
      <c r="AB37" s="1304"/>
    </row>
    <row r="38" spans="1:35" x14ac:dyDescent="0.2">
      <c r="A38" s="1293"/>
      <c r="B38" s="1294" t="s">
        <v>4086</v>
      </c>
      <c r="C38" s="1305"/>
      <c r="D38" s="694">
        <f>IF($D$19=$D$49,VLOOKUP($F$50,$C$23:$E$37,$D$16,TRUE),0)</f>
        <v>0</v>
      </c>
      <c r="E38" s="694"/>
      <c r="F38" s="1305"/>
      <c r="G38" s="694">
        <f>IF(G19=$D$49,VLOOKUP($F$50,F$23:H$37,G$16,TRUE),0)</f>
        <v>0</v>
      </c>
      <c r="H38" s="694"/>
      <c r="I38" s="1305"/>
      <c r="J38" s="694">
        <f>IF(J19=$D$49,VLOOKUP($F$50,I$23:K$37,J$16,TRUE),0)</f>
        <v>0</v>
      </c>
      <c r="K38" s="694"/>
      <c r="L38" s="1305"/>
      <c r="M38" s="694">
        <f>IF(M19=$D$49,VLOOKUP($F$50,L$23:N$37,M$16,TRUE),0)</f>
        <v>20</v>
      </c>
      <c r="N38" s="694"/>
      <c r="O38" s="1305"/>
      <c r="P38" s="694">
        <f>IF(P19=$D$49,VLOOKUP($F$50,O$23:Q$37,P$16,TRUE),0)</f>
        <v>0</v>
      </c>
      <c r="Q38" s="694"/>
      <c r="R38" s="694"/>
      <c r="S38" s="694">
        <f>IF(S19=$D$49,VLOOKUP($F$50,R$23:T$37,S$16,TRUE),0)</f>
        <v>0</v>
      </c>
      <c r="T38" s="694"/>
      <c r="U38" s="694"/>
      <c r="V38" s="694">
        <f>IF(V19=$D$49,VLOOKUP($F$50,U$23:W$37,V$16,TRUE),0)</f>
        <v>0</v>
      </c>
      <c r="W38" s="694"/>
      <c r="X38" s="1295"/>
      <c r="Y38" s="1306" t="s">
        <v>3345</v>
      </c>
      <c r="Z38" s="1307">
        <f>D38+G38+J38+M38+P38+V38</f>
        <v>20</v>
      </c>
      <c r="AA38" s="1305" t="s">
        <v>3479</v>
      </c>
      <c r="AB38" s="1308"/>
      <c r="AC38" s="1296"/>
    </row>
    <row r="39" spans="1:35" x14ac:dyDescent="0.2">
      <c r="A39" s="1293"/>
      <c r="B39" s="1309" t="s">
        <v>3348</v>
      </c>
      <c r="C39" s="1310"/>
      <c r="E39" s="668">
        <f>IF(D19=$D$49,VLOOKUP($F$50,C$23:E$37,E$16,TRUE),0)</f>
        <v>0</v>
      </c>
      <c r="F39" s="1310"/>
      <c r="H39" s="1311">
        <f>IF(G19=$D$49,VLOOKUP($F$50,F$23:H$37,H$16,TRUE),0)</f>
        <v>0</v>
      </c>
      <c r="I39" s="1310"/>
      <c r="K39" s="1311">
        <f>IF(J19=$D$49,VLOOKUP($F$50,I$23:K$37,K$16,TRUE),0)</f>
        <v>0</v>
      </c>
      <c r="L39" s="1310"/>
      <c r="N39" s="1311">
        <f>IF(M19=$D$49,VLOOKUP($F$50,L$23:N$37,N$16,TRUE),0)</f>
        <v>20</v>
      </c>
      <c r="O39" s="1310"/>
      <c r="Q39" s="1311">
        <f>IF(P19=$D$49,VLOOKUP($F$50,O$23:Q$37,Q$16,TRUE),0)</f>
        <v>0</v>
      </c>
      <c r="R39" s="1311"/>
      <c r="T39" s="1311">
        <f>IF(S19=$D$49,VLOOKUP($F$50,R$23:T$37,T$16,TRUE),0)</f>
        <v>0</v>
      </c>
      <c r="U39" s="1311"/>
      <c r="W39" s="1311">
        <f>IF(V19=$D$49,VLOOKUP($F$50,U$23:W$37,W$16,TRUE),0)</f>
        <v>0</v>
      </c>
      <c r="X39" s="1298"/>
      <c r="Y39" s="1312" t="s">
        <v>3345</v>
      </c>
      <c r="Z39" s="1313">
        <f>E39+H39+K39+N39+Q39+W39</f>
        <v>20</v>
      </c>
      <c r="AA39" s="1314" t="s">
        <v>3349</v>
      </c>
      <c r="AB39" s="1315"/>
      <c r="AC39" s="1296"/>
      <c r="AD39" s="1287" t="s">
        <v>3347</v>
      </c>
    </row>
    <row r="40" spans="1:35" ht="14.25" x14ac:dyDescent="0.2">
      <c r="A40" s="1293"/>
      <c r="B40" s="1316" t="s">
        <v>3329</v>
      </c>
      <c r="C40" s="1317" t="str">
        <f>IF(D$19=$D$49,VLOOKUP($F$50,C$23:$X$37,$X$11,TRUE),"")</f>
        <v/>
      </c>
      <c r="D40" s="695"/>
      <c r="E40" s="695"/>
      <c r="F40" s="1317" t="str">
        <f>IF(G$19=$D$49,VLOOKUP($F$50,F$23:$X$37,$X$12,TRUE),"")</f>
        <v/>
      </c>
      <c r="G40" s="695"/>
      <c r="H40" s="695"/>
      <c r="I40" s="1317" t="str">
        <f>IF(J$19=$D$49,VLOOKUP($F$50,I$23:$X$37,$X$13,TRUE),"")</f>
        <v/>
      </c>
      <c r="J40" s="695"/>
      <c r="K40" s="695"/>
      <c r="L40" s="1317" t="str">
        <f>IF(M$19=$D$49,VLOOKUP($F$50,L$23:$X$37,$X$14,TRUE),"")</f>
        <v>C</v>
      </c>
      <c r="M40" s="695"/>
      <c r="N40" s="695"/>
      <c r="O40" s="1317" t="str">
        <f>IF(P$19=$D$49,VLOOKUP($F$50,O$23:$X$37,$X$15,TRUE),"")</f>
        <v/>
      </c>
      <c r="P40" s="695"/>
      <c r="Q40" s="695"/>
      <c r="R40" s="1317" t="str">
        <f>IF(S$19=$D$49,VLOOKUP($F$50,R$23:$X$37,$X$16,TRUE),"")</f>
        <v/>
      </c>
      <c r="S40" s="695"/>
      <c r="T40" s="695"/>
      <c r="U40" s="1317" t="str">
        <f>IF(V$19=$D$49,VLOOKUP($F$50,U$23:$X$37,$X$16,TRUE),"")</f>
        <v/>
      </c>
      <c r="V40" s="695"/>
      <c r="W40" s="695"/>
      <c r="X40" s="1318" t="str">
        <f>C40&amp;F40&amp;I40&amp;L40&amp;O40&amp;R40&amp;U40</f>
        <v>C</v>
      </c>
      <c r="Y40" s="1319"/>
      <c r="Z40" s="914"/>
      <c r="AA40" s="1320"/>
      <c r="AB40" s="1321"/>
      <c r="AC40" s="1296"/>
    </row>
    <row r="41" spans="1:35" x14ac:dyDescent="0.2">
      <c r="A41" s="1293"/>
      <c r="B41" s="1322"/>
      <c r="C41" s="1323"/>
      <c r="D41" s="693"/>
      <c r="E41" s="693"/>
      <c r="F41" s="1323"/>
      <c r="G41" s="693"/>
      <c r="H41" s="693"/>
      <c r="I41" s="1323"/>
      <c r="J41" s="693"/>
      <c r="K41" s="693"/>
      <c r="L41" s="1323"/>
      <c r="M41" s="693"/>
      <c r="N41" s="693"/>
      <c r="O41" s="1323"/>
      <c r="P41" s="693"/>
      <c r="Q41" s="693"/>
      <c r="R41" s="693"/>
      <c r="S41" s="693"/>
      <c r="T41" s="693"/>
      <c r="U41" s="693"/>
      <c r="V41" s="693"/>
      <c r="W41" s="693"/>
      <c r="X41" s="1324"/>
      <c r="Y41" s="1325"/>
      <c r="Z41" s="1323"/>
      <c r="AA41" s="1323"/>
      <c r="AB41" s="1323"/>
    </row>
    <row r="42" spans="1:35" x14ac:dyDescent="0.2">
      <c r="A42" s="1293"/>
      <c r="B42" s="1297"/>
      <c r="X42" s="1298"/>
      <c r="Y42" s="1296"/>
    </row>
    <row r="43" spans="1:35" x14ac:dyDescent="0.2">
      <c r="A43" s="1293"/>
      <c r="B43" s="1297"/>
      <c r="D43" s="668"/>
      <c r="E43" s="668"/>
      <c r="G43" s="668"/>
      <c r="H43" s="668"/>
      <c r="J43" s="668"/>
      <c r="K43" s="668"/>
      <c r="M43" s="668"/>
      <c r="N43" s="668"/>
      <c r="P43" s="668"/>
      <c r="Q43" s="668"/>
      <c r="R43" s="668"/>
      <c r="S43" s="668"/>
      <c r="T43" s="668"/>
      <c r="U43" s="668"/>
      <c r="V43" s="668"/>
      <c r="W43" s="668"/>
      <c r="X43" s="1298"/>
      <c r="Y43" s="1296"/>
    </row>
    <row r="44" spans="1:35" x14ac:dyDescent="0.2">
      <c r="A44" s="1293"/>
      <c r="B44" s="1297"/>
      <c r="P44" s="668"/>
      <c r="Q44" s="668"/>
      <c r="R44" s="668"/>
      <c r="S44" s="668"/>
      <c r="T44" s="668"/>
      <c r="U44" s="668"/>
      <c r="V44" s="668"/>
      <c r="W44" s="668"/>
      <c r="X44" s="1298"/>
      <c r="Y44" s="1296"/>
    </row>
    <row r="45" spans="1:35" x14ac:dyDescent="0.2">
      <c r="A45" s="1293"/>
      <c r="B45" s="1297"/>
      <c r="X45" s="1298"/>
      <c r="Y45" s="1296"/>
    </row>
    <row r="46" spans="1:35" ht="14.25" x14ac:dyDescent="0.2">
      <c r="A46" s="691"/>
      <c r="B46" s="1297"/>
      <c r="I46" s="575"/>
      <c r="J46" s="575"/>
      <c r="K46" s="575"/>
      <c r="L46" s="575"/>
      <c r="M46" s="575"/>
      <c r="N46" s="575"/>
      <c r="O46" s="575"/>
      <c r="P46" s="575"/>
      <c r="Q46" s="575"/>
      <c r="X46" s="1298"/>
      <c r="Y46" s="1296"/>
    </row>
    <row r="47" spans="1:35" ht="14.25" x14ac:dyDescent="0.2">
      <c r="A47" s="1293"/>
      <c r="B47" s="1297"/>
      <c r="I47" s="575"/>
      <c r="J47" s="575"/>
      <c r="K47" s="575"/>
      <c r="L47" s="575"/>
      <c r="M47" s="575"/>
      <c r="N47" s="575"/>
      <c r="O47" s="575"/>
      <c r="P47" s="575"/>
      <c r="Q47" s="575"/>
      <c r="R47" s="1299"/>
      <c r="S47" s="1299"/>
      <c r="T47" s="1299"/>
      <c r="U47" s="1299"/>
      <c r="V47" s="1299"/>
      <c r="W47" s="1299"/>
      <c r="X47" s="1298"/>
      <c r="Y47" s="1296"/>
    </row>
    <row r="48" spans="1:35" ht="14.25" x14ac:dyDescent="0.2">
      <c r="A48" s="1293"/>
      <c r="B48" s="1301"/>
      <c r="C48" s="1304"/>
      <c r="D48" s="1304"/>
      <c r="E48" s="1304"/>
      <c r="F48" s="1304"/>
      <c r="G48" s="1304"/>
      <c r="H48" s="1304"/>
      <c r="I48" s="1326"/>
      <c r="J48" s="1326"/>
      <c r="K48" s="1326"/>
      <c r="L48" s="1326"/>
      <c r="M48" s="1326"/>
      <c r="N48" s="1326"/>
      <c r="O48" s="1326"/>
      <c r="P48" s="1326"/>
      <c r="Q48" s="1326"/>
      <c r="R48" s="1304"/>
      <c r="S48" s="1304"/>
      <c r="T48" s="1304"/>
      <c r="U48" s="1304"/>
      <c r="V48" s="1304"/>
      <c r="W48" s="1304"/>
      <c r="X48" s="1302"/>
      <c r="Y48" s="1296"/>
    </row>
    <row r="49" spans="1:25" ht="14.25" x14ac:dyDescent="0.2">
      <c r="A49" s="1293"/>
      <c r="B49" s="1294" t="s">
        <v>3351</v>
      </c>
      <c r="C49" s="1305"/>
      <c r="D49" s="1327">
        <f>OR_Eingabe!M33</f>
        <v>4</v>
      </c>
      <c r="E49" s="1327"/>
      <c r="F49" s="1328" t="str">
        <f>VLOOKUP(D49,Bodenarten!B10:C17,Bodenarten!C2,FALSE)</f>
        <v>sandiger bis schluffiger Lehm, sL - uL</v>
      </c>
      <c r="G49" s="1305"/>
      <c r="H49" s="1305"/>
      <c r="I49" s="928"/>
      <c r="J49" s="928"/>
      <c r="K49" s="928"/>
      <c r="L49" s="928"/>
      <c r="M49" s="928"/>
      <c r="N49" s="928"/>
      <c r="O49" s="928"/>
      <c r="P49" s="928"/>
      <c r="Q49" s="928"/>
      <c r="R49" s="1329"/>
      <c r="S49" s="1329"/>
      <c r="T49" s="1329"/>
      <c r="U49" s="1329"/>
      <c r="V49" s="1329"/>
      <c r="W49" s="1329"/>
      <c r="X49" s="1295"/>
      <c r="Y49" s="1296"/>
    </row>
    <row r="50" spans="1:25" ht="15" x14ac:dyDescent="0.2">
      <c r="A50" s="1293"/>
      <c r="B50" s="1297" t="s">
        <v>3355</v>
      </c>
      <c r="D50" s="1330">
        <f>OR_Eingabe!M36</f>
        <v>31</v>
      </c>
      <c r="E50" s="1330"/>
      <c r="F50" s="1331">
        <f>VLOOKUP($D$50,AB_Kalk!$T$31:$U$79,AB_Kalk!$U$29,FALSE)</f>
        <v>6.0000000000000098</v>
      </c>
      <c r="I50" s="575"/>
      <c r="J50" s="575"/>
      <c r="K50" s="575"/>
      <c r="L50" s="575"/>
      <c r="M50" s="575"/>
      <c r="N50" s="575"/>
      <c r="O50" s="575"/>
      <c r="P50" s="575"/>
      <c r="Q50" s="575"/>
      <c r="R50" s="1311"/>
      <c r="S50" s="1311"/>
      <c r="T50" s="1311"/>
      <c r="U50" s="1311"/>
      <c r="V50" s="1311"/>
      <c r="W50" s="1311"/>
      <c r="X50" s="1298"/>
      <c r="Y50" s="1296"/>
    </row>
    <row r="51" spans="1:25" ht="14.25" x14ac:dyDescent="0.2">
      <c r="A51" s="1293"/>
      <c r="B51" s="1297" t="s">
        <v>3357</v>
      </c>
      <c r="D51" s="673">
        <f>Z38</f>
        <v>20</v>
      </c>
      <c r="E51" s="673"/>
      <c r="F51" s="1287" t="s">
        <v>3358</v>
      </c>
      <c r="I51" s="575"/>
      <c r="J51" s="575"/>
      <c r="K51" s="575"/>
      <c r="L51" s="575"/>
      <c r="M51" s="575"/>
      <c r="N51" s="575"/>
      <c r="O51" s="575"/>
      <c r="P51" s="575"/>
      <c r="Q51" s="575"/>
      <c r="R51" s="1311"/>
      <c r="S51" s="1311"/>
      <c r="T51" s="1311"/>
      <c r="U51" s="1311"/>
      <c r="V51" s="1311"/>
      <c r="W51" s="1311"/>
      <c r="X51" s="1298"/>
      <c r="Y51" s="1296"/>
    </row>
    <row r="52" spans="1:25" ht="14.25" x14ac:dyDescent="0.2">
      <c r="A52" s="1293"/>
      <c r="B52" s="1332" t="s">
        <v>3360</v>
      </c>
      <c r="D52" s="673">
        <f>Z39</f>
        <v>20</v>
      </c>
      <c r="E52" s="674"/>
      <c r="F52" s="1287" t="s">
        <v>3358</v>
      </c>
      <c r="I52" s="575"/>
      <c r="J52" s="575"/>
      <c r="K52" s="575"/>
      <c r="L52" s="575"/>
      <c r="M52" s="575"/>
      <c r="N52" s="575"/>
      <c r="O52" s="575"/>
      <c r="P52" s="575"/>
      <c r="Q52" s="575"/>
      <c r="R52" s="1311"/>
      <c r="S52" s="1311"/>
      <c r="T52" s="1311"/>
      <c r="U52" s="1311"/>
      <c r="V52" s="1311"/>
      <c r="W52" s="1311"/>
      <c r="X52" s="1298"/>
      <c r="Y52" s="1296"/>
    </row>
    <row r="53" spans="1:25" ht="14.25" x14ac:dyDescent="0.2">
      <c r="A53" s="1293"/>
      <c r="B53" s="1316" t="s">
        <v>3362</v>
      </c>
      <c r="C53" s="1320"/>
      <c r="D53" s="1333" t="str">
        <f>X40</f>
        <v>C</v>
      </c>
      <c r="E53" s="1334"/>
      <c r="F53" s="1320"/>
      <c r="G53" s="1320"/>
      <c r="H53" s="1320"/>
      <c r="I53" s="914"/>
      <c r="J53" s="914"/>
      <c r="K53" s="914"/>
      <c r="L53" s="914"/>
      <c r="M53" s="914"/>
      <c r="N53" s="914"/>
      <c r="O53" s="914"/>
      <c r="P53" s="914"/>
      <c r="Q53" s="914"/>
      <c r="R53" s="1335"/>
      <c r="S53" s="1335"/>
      <c r="T53" s="1335"/>
      <c r="U53" s="1335"/>
      <c r="V53" s="1335"/>
      <c r="W53" s="1335"/>
      <c r="X53" s="1336"/>
      <c r="Y53" s="1296"/>
    </row>
    <row r="54" spans="1:25" ht="14.25" x14ac:dyDescent="0.2">
      <c r="B54" s="1323"/>
      <c r="C54" s="1323"/>
      <c r="D54" s="1323"/>
      <c r="E54" s="1323"/>
      <c r="F54" s="1323"/>
      <c r="G54" s="1323"/>
      <c r="H54" s="1323"/>
      <c r="I54" s="927"/>
      <c r="J54" s="927"/>
      <c r="K54" s="927"/>
      <c r="L54" s="927"/>
      <c r="M54" s="927"/>
      <c r="N54" s="927"/>
      <c r="O54" s="927"/>
      <c r="P54" s="927"/>
      <c r="Q54" s="927"/>
      <c r="R54" s="1323"/>
      <c r="S54" s="1323"/>
      <c r="T54" s="1323"/>
      <c r="U54" s="1323"/>
      <c r="V54" s="1323"/>
      <c r="W54" s="1323"/>
      <c r="X54" s="1337"/>
    </row>
    <row r="55" spans="1:25" ht="14.25" x14ac:dyDescent="0.2">
      <c r="A55" s="575"/>
      <c r="B55" s="575"/>
      <c r="C55" s="575"/>
      <c r="D55" s="575"/>
      <c r="E55" s="575"/>
      <c r="F55" s="575"/>
      <c r="G55" s="575"/>
    </row>
    <row r="56" spans="1:25" ht="14.25" x14ac:dyDescent="0.2">
      <c r="A56" s="575"/>
      <c r="B56" s="575"/>
      <c r="C56" s="575"/>
      <c r="D56" s="575"/>
      <c r="E56" s="575"/>
      <c r="F56" s="575"/>
      <c r="G56" s="575"/>
    </row>
    <row r="57" spans="1:25" ht="14.25" x14ac:dyDescent="0.2">
      <c r="A57" s="575"/>
      <c r="B57" s="575"/>
      <c r="C57" s="575"/>
      <c r="D57" s="575"/>
      <c r="E57" s="575"/>
      <c r="F57" s="575"/>
      <c r="G57" s="575"/>
    </row>
  </sheetData>
  <sheetProtection password="8677" sheet="1" objects="1" scenarios="1"/>
  <mergeCells count="8">
    <mergeCell ref="C18:E18"/>
    <mergeCell ref="C17:W17"/>
    <mergeCell ref="U18:W18"/>
    <mergeCell ref="O18:Q18"/>
    <mergeCell ref="L18:N18"/>
    <mergeCell ref="I18:K18"/>
    <mergeCell ref="F18:H18"/>
    <mergeCell ref="R18:T18"/>
  </mergeCells>
  <printOptions horizontalCentered="1" verticalCentered="1"/>
  <pageMargins left="0.78740157480314965" right="0.59055118110236227" top="0.39370078740157483" bottom="0.39370078740157483" header="0" footer="0.11811023622047245"/>
  <pageSetup paperSize="9" scale="61" orientation="portrait" verticalDpi="1200" r:id="rId1"/>
  <headerFooter alignWithMargins="0">
    <oddFooter>&amp;L&amp;8LEL / LTZ / LAZBW / LWA-DS&amp;C&amp;8&amp;F  &amp;A&amp;R&amp;8&amp;D</oddFooter>
  </headerFooter>
  <rowBreaks count="2" manualBreakCount="2">
    <brk id="15" min="1" max="11" man="1"/>
    <brk id="42" min="1" max="11"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6" tint="0.39997558519241921"/>
  </sheetPr>
  <dimension ref="A1:R3399"/>
  <sheetViews>
    <sheetView workbookViewId="0">
      <pane ySplit="12" topLeftCell="A13" activePane="bottomLeft" state="frozen"/>
      <selection activeCell="A173" sqref="A173"/>
      <selection pane="bottomLeft" activeCell="B12" sqref="B12"/>
    </sheetView>
  </sheetViews>
  <sheetFormatPr baseColWidth="10" defaultColWidth="11.5" defaultRowHeight="14.25" x14ac:dyDescent="0.2"/>
  <cols>
    <col min="1" max="1" width="6.375" style="22" customWidth="1"/>
    <col min="2" max="2" width="21.5" style="22" bestFit="1" customWidth="1"/>
    <col min="3" max="3" width="24.5" style="22" bestFit="1" customWidth="1"/>
    <col min="4" max="4" width="12.5" style="22" bestFit="1" customWidth="1"/>
    <col min="5" max="5" width="14.25" style="22" customWidth="1"/>
    <col min="6" max="6" width="13" style="22" customWidth="1"/>
    <col min="7" max="7" width="10.375" style="22" hidden="1" customWidth="1"/>
    <col min="8" max="8" width="16.125" style="22" hidden="1" customWidth="1"/>
    <col min="9" max="9" width="7.25" style="22" customWidth="1"/>
    <col min="10" max="10" width="11.5" style="22" hidden="1" customWidth="1"/>
    <col min="11" max="11" width="23.25" style="22" customWidth="1"/>
    <col min="12" max="16384" width="11.5" style="22"/>
  </cols>
  <sheetData>
    <row r="1" spans="1:18" ht="31.7" customHeight="1" x14ac:dyDescent="0.25">
      <c r="E1" s="650" t="str">
        <f>Startmenue!G2</f>
        <v>Version 1.2</v>
      </c>
      <c r="F1" s="13"/>
    </row>
    <row r="2" spans="1:18" ht="13.7" x14ac:dyDescent="0.2">
      <c r="A2" s="22" t="s">
        <v>4368</v>
      </c>
      <c r="C2" s="22" t="s">
        <v>4387</v>
      </c>
      <c r="E2" s="89"/>
    </row>
    <row r="3" spans="1:18" x14ac:dyDescent="0.2">
      <c r="A3" s="22" t="s">
        <v>4369</v>
      </c>
      <c r="C3" s="575" t="s">
        <v>4370</v>
      </c>
    </row>
    <row r="4" spans="1:18" ht="13.7" customHeight="1" x14ac:dyDescent="0.2">
      <c r="C4" s="22" t="s">
        <v>4371</v>
      </c>
    </row>
    <row r="5" spans="1:18" ht="0.75" customHeight="1" x14ac:dyDescent="0.2">
      <c r="C5" s="575"/>
    </row>
    <row r="6" spans="1:18" ht="0.75" customHeight="1" x14ac:dyDescent="0.2">
      <c r="C6" s="575"/>
    </row>
    <row r="7" spans="1:18" ht="0.75" customHeight="1" x14ac:dyDescent="0.2">
      <c r="C7" s="575"/>
    </row>
    <row r="8" spans="1:18" ht="0.75" customHeight="1" x14ac:dyDescent="0.2">
      <c r="C8" s="575"/>
    </row>
    <row r="9" spans="1:18" ht="0.75" customHeight="1" x14ac:dyDescent="0.2"/>
    <row r="10" spans="1:18" s="579" customFormat="1" ht="2.1" customHeight="1" x14ac:dyDescent="0.2">
      <c r="C10" s="965" t="s">
        <v>4377</v>
      </c>
      <c r="D10" s="966">
        <f>COLUMNS($D$10:D10)</f>
        <v>1</v>
      </c>
      <c r="E10" s="966">
        <f>COLUMNS($D$10:E10)</f>
        <v>2</v>
      </c>
      <c r="F10" s="966">
        <f>COLUMNS($D$10:F10)</f>
        <v>3</v>
      </c>
    </row>
    <row r="11" spans="1:18" s="574" customFormat="1" ht="13.7" x14ac:dyDescent="0.2">
      <c r="A11" s="570" t="s">
        <v>48</v>
      </c>
      <c r="B11" s="571" t="s">
        <v>51</v>
      </c>
      <c r="C11" s="571" t="s">
        <v>10</v>
      </c>
      <c r="D11" s="571" t="s">
        <v>52</v>
      </c>
      <c r="E11" s="571" t="s">
        <v>53</v>
      </c>
      <c r="F11" s="571" t="s">
        <v>8</v>
      </c>
      <c r="G11" s="572" t="s">
        <v>54</v>
      </c>
      <c r="H11" s="573" t="s">
        <v>55</v>
      </c>
    </row>
    <row r="12" spans="1:18" x14ac:dyDescent="0.2">
      <c r="O12" s="22" t="s">
        <v>51</v>
      </c>
      <c r="P12" s="22" t="s">
        <v>4197</v>
      </c>
      <c r="Q12" s="22" t="s">
        <v>4159</v>
      </c>
      <c r="R12" s="22" t="s">
        <v>4731</v>
      </c>
    </row>
    <row r="13" spans="1:18" x14ac:dyDescent="0.2">
      <c r="A13" s="567">
        <v>2267</v>
      </c>
      <c r="B13" s="568" t="s">
        <v>1191</v>
      </c>
      <c r="C13" s="568" t="s">
        <v>1191</v>
      </c>
      <c r="D13" s="567">
        <v>6550</v>
      </c>
      <c r="E13" s="567">
        <v>1</v>
      </c>
      <c r="F13" s="567">
        <v>4</v>
      </c>
      <c r="G13" s="567">
        <v>335</v>
      </c>
      <c r="H13" s="567">
        <v>3151</v>
      </c>
    </row>
    <row r="14" spans="1:18" x14ac:dyDescent="0.2">
      <c r="A14" s="567">
        <v>924</v>
      </c>
      <c r="B14" s="568" t="s">
        <v>68</v>
      </c>
      <c r="C14" s="568" t="s">
        <v>67</v>
      </c>
      <c r="D14" s="567">
        <v>2387</v>
      </c>
      <c r="E14" s="567">
        <v>88</v>
      </c>
      <c r="F14" s="567">
        <v>14</v>
      </c>
      <c r="G14" s="567">
        <v>136</v>
      </c>
      <c r="H14" s="567">
        <v>1101</v>
      </c>
      <c r="O14" s="568" t="s">
        <v>1191</v>
      </c>
      <c r="P14" s="22">
        <f>COUNTIF($B$13:$B$3400,O14)</f>
        <v>1</v>
      </c>
      <c r="Q14" s="22">
        <v>1</v>
      </c>
      <c r="R14" s="22">
        <f>P14</f>
        <v>1</v>
      </c>
    </row>
    <row r="15" spans="1:18" x14ac:dyDescent="0.2">
      <c r="A15" s="567">
        <v>917</v>
      </c>
      <c r="B15" s="568" t="s">
        <v>68</v>
      </c>
      <c r="C15" s="568" t="s">
        <v>68</v>
      </c>
      <c r="D15" s="567">
        <v>2380</v>
      </c>
      <c r="E15" s="567">
        <v>88</v>
      </c>
      <c r="F15" s="567">
        <v>14</v>
      </c>
      <c r="G15" s="567">
        <v>136</v>
      </c>
      <c r="H15" s="567">
        <v>1101</v>
      </c>
      <c r="O15" s="568" t="s">
        <v>68</v>
      </c>
      <c r="P15" s="22">
        <f t="shared" ref="P15:P78" si="0">COUNTIF($B$13:$B$3400,O15)</f>
        <v>8</v>
      </c>
      <c r="Q15" s="22">
        <f>R14+1</f>
        <v>2</v>
      </c>
      <c r="R15" s="22">
        <f>R14+P15</f>
        <v>9</v>
      </c>
    </row>
    <row r="16" spans="1:18" x14ac:dyDescent="0.2">
      <c r="A16" s="567">
        <v>918</v>
      </c>
      <c r="B16" s="568" t="s">
        <v>68</v>
      </c>
      <c r="C16" s="568" t="s">
        <v>76</v>
      </c>
      <c r="D16" s="567">
        <v>2381</v>
      </c>
      <c r="E16" s="567">
        <v>88</v>
      </c>
      <c r="F16" s="567">
        <v>14</v>
      </c>
      <c r="G16" s="567">
        <v>136</v>
      </c>
      <c r="H16" s="567">
        <v>1101</v>
      </c>
      <c r="O16" s="568" t="s">
        <v>602</v>
      </c>
      <c r="P16" s="22">
        <f t="shared" si="0"/>
        <v>1</v>
      </c>
      <c r="Q16" s="22">
        <f>R15+1</f>
        <v>10</v>
      </c>
      <c r="R16" s="22">
        <f>R15+P16</f>
        <v>10</v>
      </c>
    </row>
    <row r="17" spans="1:18" x14ac:dyDescent="0.2">
      <c r="A17" s="567">
        <v>920</v>
      </c>
      <c r="B17" s="568" t="s">
        <v>68</v>
      </c>
      <c r="C17" s="568" t="s">
        <v>77</v>
      </c>
      <c r="D17" s="567">
        <v>2383</v>
      </c>
      <c r="E17" s="567">
        <v>88</v>
      </c>
      <c r="F17" s="567">
        <v>14</v>
      </c>
      <c r="G17" s="567">
        <v>136</v>
      </c>
      <c r="H17" s="567">
        <v>1101</v>
      </c>
      <c r="O17" s="568" t="s">
        <v>58</v>
      </c>
      <c r="P17" s="22">
        <f t="shared" si="0"/>
        <v>6</v>
      </c>
      <c r="Q17" s="22">
        <f t="shared" ref="Q17:Q80" si="1">R16+1</f>
        <v>11</v>
      </c>
      <c r="R17" s="22">
        <f t="shared" ref="R17:R80" si="2">R16+P17</f>
        <v>16</v>
      </c>
    </row>
    <row r="18" spans="1:18" x14ac:dyDescent="0.2">
      <c r="A18" s="567">
        <v>922</v>
      </c>
      <c r="B18" s="568" t="s">
        <v>68</v>
      </c>
      <c r="C18" s="568" t="s">
        <v>78</v>
      </c>
      <c r="D18" s="567">
        <v>2385</v>
      </c>
      <c r="E18" s="567">
        <v>88</v>
      </c>
      <c r="F18" s="567">
        <v>14</v>
      </c>
      <c r="G18" s="567">
        <v>136</v>
      </c>
      <c r="H18" s="567">
        <v>1101</v>
      </c>
      <c r="O18" s="568" t="s">
        <v>2820</v>
      </c>
      <c r="P18" s="22">
        <f t="shared" si="0"/>
        <v>1</v>
      </c>
      <c r="Q18" s="22">
        <f t="shared" si="1"/>
        <v>17</v>
      </c>
      <c r="R18" s="22">
        <f t="shared" si="2"/>
        <v>17</v>
      </c>
    </row>
    <row r="19" spans="1:18" x14ac:dyDescent="0.2">
      <c r="A19" s="567">
        <v>923</v>
      </c>
      <c r="B19" s="568" t="s">
        <v>68</v>
      </c>
      <c r="C19" s="568" t="s">
        <v>118</v>
      </c>
      <c r="D19" s="567">
        <v>2386</v>
      </c>
      <c r="E19" s="567">
        <v>88</v>
      </c>
      <c r="F19" s="567">
        <v>14</v>
      </c>
      <c r="G19" s="567">
        <v>136</v>
      </c>
      <c r="H19" s="567">
        <v>1101</v>
      </c>
      <c r="O19" s="568" t="s">
        <v>2218</v>
      </c>
      <c r="P19" s="22">
        <f t="shared" si="0"/>
        <v>9</v>
      </c>
      <c r="Q19" s="22">
        <f t="shared" si="1"/>
        <v>18</v>
      </c>
      <c r="R19" s="22">
        <f t="shared" si="2"/>
        <v>26</v>
      </c>
    </row>
    <row r="20" spans="1:18" x14ac:dyDescent="0.2">
      <c r="A20" s="567">
        <v>919</v>
      </c>
      <c r="B20" s="568" t="s">
        <v>68</v>
      </c>
      <c r="C20" s="568" t="s">
        <v>155</v>
      </c>
      <c r="D20" s="567">
        <v>2382</v>
      </c>
      <c r="E20" s="567">
        <v>88</v>
      </c>
      <c r="F20" s="567">
        <v>14</v>
      </c>
      <c r="G20" s="567">
        <v>136</v>
      </c>
      <c r="H20" s="567">
        <v>1101</v>
      </c>
      <c r="O20" s="568" t="s">
        <v>2695</v>
      </c>
      <c r="P20" s="22">
        <f t="shared" si="0"/>
        <v>4</v>
      </c>
      <c r="Q20" s="22">
        <f t="shared" si="1"/>
        <v>27</v>
      </c>
      <c r="R20" s="22">
        <f t="shared" si="2"/>
        <v>30</v>
      </c>
    </row>
    <row r="21" spans="1:18" x14ac:dyDescent="0.2">
      <c r="A21" s="567">
        <v>921</v>
      </c>
      <c r="B21" s="568" t="s">
        <v>68</v>
      </c>
      <c r="C21" s="568" t="s">
        <v>157</v>
      </c>
      <c r="D21" s="567">
        <v>2384</v>
      </c>
      <c r="E21" s="567">
        <v>88</v>
      </c>
      <c r="F21" s="567">
        <v>14</v>
      </c>
      <c r="G21" s="567">
        <v>136</v>
      </c>
      <c r="H21" s="567">
        <v>1101</v>
      </c>
      <c r="O21" s="568" t="s">
        <v>452</v>
      </c>
      <c r="P21" s="22">
        <f t="shared" si="0"/>
        <v>1</v>
      </c>
      <c r="Q21" s="22">
        <f t="shared" si="1"/>
        <v>31</v>
      </c>
      <c r="R21" s="22">
        <f t="shared" si="2"/>
        <v>31</v>
      </c>
    </row>
    <row r="22" spans="1:18" x14ac:dyDescent="0.2">
      <c r="A22" s="567">
        <v>442</v>
      </c>
      <c r="B22" s="568" t="s">
        <v>602</v>
      </c>
      <c r="C22" s="568" t="s">
        <v>602</v>
      </c>
      <c r="D22" s="567">
        <v>835</v>
      </c>
      <c r="E22" s="567">
        <v>1</v>
      </c>
      <c r="F22" s="567">
        <v>1</v>
      </c>
      <c r="G22" s="567">
        <v>125</v>
      </c>
      <c r="H22" s="567">
        <v>1150</v>
      </c>
      <c r="O22" s="568" t="s">
        <v>99</v>
      </c>
      <c r="P22" s="22">
        <f t="shared" si="0"/>
        <v>1</v>
      </c>
      <c r="Q22" s="22">
        <f t="shared" si="1"/>
        <v>32</v>
      </c>
      <c r="R22" s="22">
        <f t="shared" si="2"/>
        <v>32</v>
      </c>
    </row>
    <row r="23" spans="1:18" x14ac:dyDescent="0.2">
      <c r="A23" s="567">
        <v>900</v>
      </c>
      <c r="B23" s="568" t="s">
        <v>58</v>
      </c>
      <c r="C23" s="568" t="s">
        <v>57</v>
      </c>
      <c r="D23" s="567">
        <v>2304</v>
      </c>
      <c r="E23" s="567">
        <v>2</v>
      </c>
      <c r="F23" s="567">
        <v>19</v>
      </c>
      <c r="G23" s="567">
        <v>136</v>
      </c>
      <c r="H23" s="567">
        <v>1101</v>
      </c>
      <c r="O23" s="568" t="s">
        <v>1483</v>
      </c>
      <c r="P23" s="22">
        <f t="shared" si="0"/>
        <v>3</v>
      </c>
      <c r="Q23" s="22">
        <f t="shared" si="1"/>
        <v>33</v>
      </c>
      <c r="R23" s="22">
        <f t="shared" si="2"/>
        <v>35</v>
      </c>
    </row>
    <row r="24" spans="1:18" x14ac:dyDescent="0.2">
      <c r="A24" s="567">
        <v>901</v>
      </c>
      <c r="B24" s="568" t="s">
        <v>58</v>
      </c>
      <c r="C24" s="568" t="s">
        <v>59</v>
      </c>
      <c r="D24" s="567">
        <v>2305</v>
      </c>
      <c r="E24" s="567">
        <v>2</v>
      </c>
      <c r="F24" s="567">
        <v>19</v>
      </c>
      <c r="G24" s="567">
        <v>136</v>
      </c>
      <c r="H24" s="567">
        <v>1101</v>
      </c>
      <c r="O24" s="568" t="s">
        <v>805</v>
      </c>
      <c r="P24" s="22">
        <f t="shared" si="0"/>
        <v>1</v>
      </c>
      <c r="Q24" s="22">
        <f t="shared" si="1"/>
        <v>36</v>
      </c>
      <c r="R24" s="22">
        <f t="shared" si="2"/>
        <v>36</v>
      </c>
    </row>
    <row r="25" spans="1:18" x14ac:dyDescent="0.2">
      <c r="A25" s="567">
        <v>897</v>
      </c>
      <c r="B25" s="568" t="s">
        <v>58</v>
      </c>
      <c r="C25" s="568" t="s">
        <v>70</v>
      </c>
      <c r="D25" s="567">
        <v>2301</v>
      </c>
      <c r="E25" s="567">
        <v>2</v>
      </c>
      <c r="F25" s="567">
        <v>19</v>
      </c>
      <c r="G25" s="567">
        <v>136</v>
      </c>
      <c r="H25" s="567">
        <v>1101</v>
      </c>
      <c r="O25" s="568" t="s">
        <v>1461</v>
      </c>
      <c r="P25" s="22">
        <f t="shared" si="0"/>
        <v>4</v>
      </c>
      <c r="Q25" s="22">
        <f t="shared" si="1"/>
        <v>37</v>
      </c>
      <c r="R25" s="22">
        <f t="shared" si="2"/>
        <v>40</v>
      </c>
    </row>
    <row r="26" spans="1:18" x14ac:dyDescent="0.2">
      <c r="A26" s="567">
        <v>899</v>
      </c>
      <c r="B26" s="568" t="s">
        <v>58</v>
      </c>
      <c r="C26" s="568" t="s">
        <v>92</v>
      </c>
      <c r="D26" s="567">
        <v>2303</v>
      </c>
      <c r="E26" s="567">
        <v>2</v>
      </c>
      <c r="F26" s="567">
        <v>19</v>
      </c>
      <c r="G26" s="567">
        <v>136</v>
      </c>
      <c r="H26" s="567">
        <v>1101</v>
      </c>
      <c r="O26" s="568" t="s">
        <v>332</v>
      </c>
      <c r="P26" s="22">
        <f t="shared" si="0"/>
        <v>5</v>
      </c>
      <c r="Q26" s="22">
        <f t="shared" si="1"/>
        <v>41</v>
      </c>
      <c r="R26" s="22">
        <f t="shared" si="2"/>
        <v>45</v>
      </c>
    </row>
    <row r="27" spans="1:18" x14ac:dyDescent="0.2">
      <c r="A27" s="567">
        <v>898</v>
      </c>
      <c r="B27" s="568" t="s">
        <v>58</v>
      </c>
      <c r="C27" s="568" t="s">
        <v>94</v>
      </c>
      <c r="D27" s="567">
        <v>2302</v>
      </c>
      <c r="E27" s="567"/>
      <c r="F27" s="567">
        <v>19</v>
      </c>
      <c r="G27" s="567">
        <v>136</v>
      </c>
      <c r="H27" s="567">
        <v>1101</v>
      </c>
      <c r="O27" s="568" t="s">
        <v>464</v>
      </c>
      <c r="P27" s="22">
        <f t="shared" si="0"/>
        <v>1</v>
      </c>
      <c r="Q27" s="22">
        <f t="shared" si="1"/>
        <v>46</v>
      </c>
      <c r="R27" s="22">
        <f t="shared" si="2"/>
        <v>46</v>
      </c>
    </row>
    <row r="28" spans="1:18" x14ac:dyDescent="0.2">
      <c r="A28" s="567">
        <v>896</v>
      </c>
      <c r="B28" s="568" t="s">
        <v>58</v>
      </c>
      <c r="C28" s="568" t="s">
        <v>58</v>
      </c>
      <c r="D28" s="567">
        <v>2300</v>
      </c>
      <c r="E28" s="567">
        <v>2</v>
      </c>
      <c r="F28" s="567">
        <v>19</v>
      </c>
      <c r="G28" s="567">
        <v>136</v>
      </c>
      <c r="H28" s="567">
        <v>1101</v>
      </c>
      <c r="O28" s="568" t="s">
        <v>1720</v>
      </c>
      <c r="P28" s="22">
        <f t="shared" si="0"/>
        <v>2</v>
      </c>
      <c r="Q28" s="22">
        <f t="shared" si="1"/>
        <v>47</v>
      </c>
      <c r="R28" s="22">
        <f t="shared" si="2"/>
        <v>48</v>
      </c>
    </row>
    <row r="29" spans="1:18" x14ac:dyDescent="0.2">
      <c r="A29" s="567">
        <v>3309</v>
      </c>
      <c r="B29" s="568" t="s">
        <v>2820</v>
      </c>
      <c r="C29" s="568" t="s">
        <v>2820</v>
      </c>
      <c r="D29" s="567">
        <v>9650</v>
      </c>
      <c r="E29" s="567">
        <v>1</v>
      </c>
      <c r="F29" s="567">
        <v>10</v>
      </c>
      <c r="G29" s="567">
        <v>436</v>
      </c>
      <c r="H29" s="567">
        <v>4120</v>
      </c>
      <c r="O29" s="568" t="s">
        <v>2856</v>
      </c>
      <c r="P29" s="22">
        <f t="shared" si="0"/>
        <v>2</v>
      </c>
      <c r="Q29" s="22">
        <f t="shared" si="1"/>
        <v>49</v>
      </c>
      <c r="R29" s="22">
        <f t="shared" si="2"/>
        <v>50</v>
      </c>
    </row>
    <row r="30" spans="1:18" x14ac:dyDescent="0.2">
      <c r="A30" s="567">
        <v>1673</v>
      </c>
      <c r="B30" s="568" t="s">
        <v>2218</v>
      </c>
      <c r="C30" s="568" t="s">
        <v>2217</v>
      </c>
      <c r="D30" s="567">
        <v>4578</v>
      </c>
      <c r="E30" s="567">
        <v>1</v>
      </c>
      <c r="F30" s="567">
        <v>3</v>
      </c>
      <c r="G30" s="567">
        <v>317</v>
      </c>
      <c r="H30" s="567">
        <v>3140</v>
      </c>
      <c r="O30" s="568" t="s">
        <v>847</v>
      </c>
      <c r="P30" s="22">
        <f t="shared" si="0"/>
        <v>3</v>
      </c>
      <c r="Q30" s="22">
        <f t="shared" si="1"/>
        <v>51</v>
      </c>
      <c r="R30" s="22">
        <f t="shared" si="2"/>
        <v>53</v>
      </c>
    </row>
    <row r="31" spans="1:18" x14ac:dyDescent="0.2">
      <c r="A31" s="567">
        <v>1665</v>
      </c>
      <c r="B31" s="568" t="s">
        <v>2218</v>
      </c>
      <c r="C31" s="568" t="s">
        <v>2218</v>
      </c>
      <c r="D31" s="567">
        <v>4570</v>
      </c>
      <c r="E31" s="567">
        <v>1</v>
      </c>
      <c r="F31" s="567">
        <v>3</v>
      </c>
      <c r="G31" s="567">
        <v>317</v>
      </c>
      <c r="H31" s="567">
        <v>3140</v>
      </c>
      <c r="O31" s="568" t="s">
        <v>867</v>
      </c>
      <c r="P31" s="22">
        <f t="shared" si="0"/>
        <v>3</v>
      </c>
      <c r="Q31" s="22">
        <f t="shared" si="1"/>
        <v>54</v>
      </c>
      <c r="R31" s="22">
        <f t="shared" si="2"/>
        <v>56</v>
      </c>
    </row>
    <row r="32" spans="1:18" x14ac:dyDescent="0.2">
      <c r="A32" s="567">
        <v>1666</v>
      </c>
      <c r="B32" s="568" t="s">
        <v>2218</v>
      </c>
      <c r="C32" s="568" t="s">
        <v>2219</v>
      </c>
      <c r="D32" s="567">
        <v>4571</v>
      </c>
      <c r="E32" s="567">
        <v>1</v>
      </c>
      <c r="F32" s="567">
        <v>3</v>
      </c>
      <c r="G32" s="567">
        <v>317</v>
      </c>
      <c r="H32" s="567">
        <v>3140</v>
      </c>
      <c r="O32" s="568" t="s">
        <v>657</v>
      </c>
      <c r="P32" s="22">
        <f t="shared" si="0"/>
        <v>3</v>
      </c>
      <c r="Q32" s="22">
        <f t="shared" si="1"/>
        <v>57</v>
      </c>
      <c r="R32" s="22">
        <f t="shared" si="2"/>
        <v>59</v>
      </c>
    </row>
    <row r="33" spans="1:18" x14ac:dyDescent="0.2">
      <c r="A33" s="567">
        <v>1667</v>
      </c>
      <c r="B33" s="568" t="s">
        <v>2218</v>
      </c>
      <c r="C33" s="568" t="s">
        <v>2220</v>
      </c>
      <c r="D33" s="567">
        <v>4572</v>
      </c>
      <c r="E33" s="567">
        <v>1</v>
      </c>
      <c r="F33" s="567">
        <v>3</v>
      </c>
      <c r="G33" s="567">
        <v>317</v>
      </c>
      <c r="H33" s="567">
        <v>3140</v>
      </c>
      <c r="O33" s="568" t="s">
        <v>2078</v>
      </c>
      <c r="P33" s="22">
        <f t="shared" si="0"/>
        <v>1</v>
      </c>
      <c r="Q33" s="22">
        <f t="shared" si="1"/>
        <v>60</v>
      </c>
      <c r="R33" s="22">
        <f t="shared" si="2"/>
        <v>60</v>
      </c>
    </row>
    <row r="34" spans="1:18" x14ac:dyDescent="0.2">
      <c r="A34" s="567">
        <v>1668</v>
      </c>
      <c r="B34" s="568" t="s">
        <v>2218</v>
      </c>
      <c r="C34" s="568" t="s">
        <v>2221</v>
      </c>
      <c r="D34" s="567">
        <v>4573</v>
      </c>
      <c r="E34" s="567">
        <v>1</v>
      </c>
      <c r="F34" s="567">
        <v>3</v>
      </c>
      <c r="G34" s="567">
        <v>317</v>
      </c>
      <c r="H34" s="567">
        <v>3140</v>
      </c>
      <c r="O34" s="568" t="s">
        <v>2868</v>
      </c>
      <c r="P34" s="22">
        <f t="shared" si="0"/>
        <v>1</v>
      </c>
      <c r="Q34" s="22">
        <f t="shared" si="1"/>
        <v>61</v>
      </c>
      <c r="R34" s="22">
        <f t="shared" si="2"/>
        <v>61</v>
      </c>
    </row>
    <row r="35" spans="1:18" x14ac:dyDescent="0.2">
      <c r="A35" s="567">
        <v>1669</v>
      </c>
      <c r="B35" s="568" t="s">
        <v>2218</v>
      </c>
      <c r="C35" s="568" t="s">
        <v>2222</v>
      </c>
      <c r="D35" s="567">
        <v>4574</v>
      </c>
      <c r="E35" s="567">
        <v>1</v>
      </c>
      <c r="F35" s="567">
        <v>3</v>
      </c>
      <c r="G35" s="567">
        <v>317</v>
      </c>
      <c r="H35" s="567">
        <v>3140</v>
      </c>
      <c r="O35" s="568" t="s">
        <v>2485</v>
      </c>
      <c r="P35" s="22">
        <f t="shared" si="0"/>
        <v>6</v>
      </c>
      <c r="Q35" s="22">
        <f t="shared" si="1"/>
        <v>62</v>
      </c>
      <c r="R35" s="22">
        <f t="shared" si="2"/>
        <v>67</v>
      </c>
    </row>
    <row r="36" spans="1:18" x14ac:dyDescent="0.2">
      <c r="A36" s="567">
        <v>1670</v>
      </c>
      <c r="B36" s="568" t="s">
        <v>2218</v>
      </c>
      <c r="C36" s="568" t="s">
        <v>2223</v>
      </c>
      <c r="D36" s="567">
        <v>4575</v>
      </c>
      <c r="E36" s="567">
        <v>1</v>
      </c>
      <c r="F36" s="567">
        <v>3</v>
      </c>
      <c r="G36" s="567">
        <v>317</v>
      </c>
      <c r="H36" s="567">
        <v>3140</v>
      </c>
      <c r="O36" s="568" t="s">
        <v>412</v>
      </c>
      <c r="P36" s="22">
        <f t="shared" si="0"/>
        <v>1</v>
      </c>
      <c r="Q36" s="22">
        <f t="shared" si="1"/>
        <v>68</v>
      </c>
      <c r="R36" s="22">
        <f t="shared" si="2"/>
        <v>68</v>
      </c>
    </row>
    <row r="37" spans="1:18" x14ac:dyDescent="0.2">
      <c r="A37" s="567">
        <v>1672</v>
      </c>
      <c r="B37" s="568" t="s">
        <v>2218</v>
      </c>
      <c r="C37" s="568" t="s">
        <v>2224</v>
      </c>
      <c r="D37" s="567">
        <v>4577</v>
      </c>
      <c r="E37" s="567">
        <v>1</v>
      </c>
      <c r="F37" s="567">
        <v>3</v>
      </c>
      <c r="G37" s="567">
        <v>317</v>
      </c>
      <c r="H37" s="567">
        <v>3140</v>
      </c>
      <c r="O37" s="568" t="s">
        <v>2597</v>
      </c>
      <c r="P37" s="22">
        <f t="shared" si="0"/>
        <v>9</v>
      </c>
      <c r="Q37" s="22">
        <f t="shared" si="1"/>
        <v>69</v>
      </c>
      <c r="R37" s="22">
        <f t="shared" si="2"/>
        <v>77</v>
      </c>
    </row>
    <row r="38" spans="1:18" x14ac:dyDescent="0.2">
      <c r="A38" s="567">
        <v>1671</v>
      </c>
      <c r="B38" s="568" t="s">
        <v>2218</v>
      </c>
      <c r="C38" s="568" t="s">
        <v>2243</v>
      </c>
      <c r="D38" s="567">
        <v>4576</v>
      </c>
      <c r="E38" s="567">
        <v>1</v>
      </c>
      <c r="F38" s="567">
        <v>3</v>
      </c>
      <c r="G38" s="567">
        <v>317</v>
      </c>
      <c r="H38" s="567">
        <v>3140</v>
      </c>
      <c r="O38" s="568" t="s">
        <v>759</v>
      </c>
      <c r="P38" s="22">
        <f t="shared" si="0"/>
        <v>2</v>
      </c>
      <c r="Q38" s="22">
        <f t="shared" si="1"/>
        <v>78</v>
      </c>
      <c r="R38" s="22">
        <f t="shared" si="2"/>
        <v>79</v>
      </c>
    </row>
    <row r="39" spans="1:18" x14ac:dyDescent="0.2">
      <c r="A39" s="567">
        <v>2968</v>
      </c>
      <c r="B39" s="568" t="s">
        <v>2695</v>
      </c>
      <c r="C39" s="568" t="s">
        <v>2694</v>
      </c>
      <c r="D39" s="567">
        <v>8561</v>
      </c>
      <c r="E39" s="567">
        <v>1</v>
      </c>
      <c r="F39" s="567">
        <v>12</v>
      </c>
      <c r="G39" s="567">
        <v>426</v>
      </c>
      <c r="H39" s="567">
        <v>4110</v>
      </c>
      <c r="O39" s="568" t="s">
        <v>161</v>
      </c>
      <c r="P39" s="22">
        <f t="shared" si="0"/>
        <v>3</v>
      </c>
      <c r="Q39" s="22">
        <f t="shared" si="1"/>
        <v>80</v>
      </c>
      <c r="R39" s="22">
        <f t="shared" si="2"/>
        <v>82</v>
      </c>
    </row>
    <row r="40" spans="1:18" x14ac:dyDescent="0.2">
      <c r="A40" s="567">
        <v>2969</v>
      </c>
      <c r="B40" s="568" t="s">
        <v>2695</v>
      </c>
      <c r="C40" s="568" t="s">
        <v>2696</v>
      </c>
      <c r="D40" s="567">
        <v>8562</v>
      </c>
      <c r="E40" s="567">
        <v>1</v>
      </c>
      <c r="F40" s="567">
        <v>12</v>
      </c>
      <c r="G40" s="567">
        <v>426</v>
      </c>
      <c r="H40" s="567">
        <v>4110</v>
      </c>
      <c r="O40" s="568" t="s">
        <v>2317</v>
      </c>
      <c r="P40" s="22">
        <f t="shared" si="0"/>
        <v>4</v>
      </c>
      <c r="Q40" s="22">
        <f t="shared" si="1"/>
        <v>83</v>
      </c>
      <c r="R40" s="22">
        <f t="shared" si="2"/>
        <v>86</v>
      </c>
    </row>
    <row r="41" spans="1:18" x14ac:dyDescent="0.2">
      <c r="A41" s="567">
        <v>2970</v>
      </c>
      <c r="B41" s="568" t="s">
        <v>2695</v>
      </c>
      <c r="C41" s="568" t="s">
        <v>187</v>
      </c>
      <c r="D41" s="567">
        <v>8563</v>
      </c>
      <c r="E41" s="567">
        <v>1</v>
      </c>
      <c r="F41" s="567">
        <v>12</v>
      </c>
      <c r="G41" s="567">
        <v>426</v>
      </c>
      <c r="H41" s="567">
        <v>4110</v>
      </c>
      <c r="O41" s="568" t="s">
        <v>2719</v>
      </c>
      <c r="P41" s="22">
        <f t="shared" si="0"/>
        <v>1</v>
      </c>
      <c r="Q41" s="22">
        <f t="shared" si="1"/>
        <v>87</v>
      </c>
      <c r="R41" s="22">
        <f t="shared" si="2"/>
        <v>87</v>
      </c>
    </row>
    <row r="42" spans="1:18" x14ac:dyDescent="0.2">
      <c r="A42" s="567">
        <v>2967</v>
      </c>
      <c r="B42" s="568" t="s">
        <v>2695</v>
      </c>
      <c r="C42" s="568" t="s">
        <v>2695</v>
      </c>
      <c r="D42" s="567">
        <v>8560</v>
      </c>
      <c r="E42" s="567">
        <v>1</v>
      </c>
      <c r="F42" s="567">
        <v>12</v>
      </c>
      <c r="G42" s="567">
        <v>426</v>
      </c>
      <c r="H42" s="567">
        <v>4110</v>
      </c>
      <c r="O42" s="568" t="s">
        <v>2768</v>
      </c>
      <c r="P42" s="22">
        <f t="shared" si="0"/>
        <v>1</v>
      </c>
      <c r="Q42" s="22">
        <f t="shared" si="1"/>
        <v>88</v>
      </c>
      <c r="R42" s="22">
        <f t="shared" si="2"/>
        <v>88</v>
      </c>
    </row>
    <row r="43" spans="1:18" x14ac:dyDescent="0.2">
      <c r="A43" s="567">
        <v>809</v>
      </c>
      <c r="B43" s="568" t="s">
        <v>452</v>
      </c>
      <c r="C43" s="568" t="s">
        <v>452</v>
      </c>
      <c r="D43" s="567">
        <v>1990</v>
      </c>
      <c r="E43" s="567">
        <v>1</v>
      </c>
      <c r="F43" s="567">
        <v>18</v>
      </c>
      <c r="G43" s="567">
        <v>117</v>
      </c>
      <c r="H43" s="567">
        <v>1130</v>
      </c>
      <c r="O43" s="568" t="s">
        <v>3199</v>
      </c>
      <c r="P43" s="22">
        <f t="shared" si="0"/>
        <v>5</v>
      </c>
      <c r="Q43" s="22">
        <f t="shared" si="1"/>
        <v>89</v>
      </c>
      <c r="R43" s="22">
        <f t="shared" si="2"/>
        <v>93</v>
      </c>
    </row>
    <row r="44" spans="1:18" x14ac:dyDescent="0.2">
      <c r="A44" s="567">
        <v>892</v>
      </c>
      <c r="B44" s="568" t="s">
        <v>99</v>
      </c>
      <c r="C44" s="568" t="s">
        <v>99</v>
      </c>
      <c r="D44" s="567">
        <v>2280</v>
      </c>
      <c r="E44" s="567">
        <v>3</v>
      </c>
      <c r="F44" s="567">
        <v>19</v>
      </c>
      <c r="G44" s="567">
        <v>136</v>
      </c>
      <c r="H44" s="567">
        <v>1101</v>
      </c>
      <c r="O44" s="568" t="s">
        <v>256</v>
      </c>
      <c r="P44" s="22">
        <f t="shared" si="0"/>
        <v>2</v>
      </c>
      <c r="Q44" s="22">
        <f t="shared" si="1"/>
        <v>94</v>
      </c>
      <c r="R44" s="22">
        <f t="shared" si="2"/>
        <v>95</v>
      </c>
    </row>
    <row r="45" spans="1:18" x14ac:dyDescent="0.2">
      <c r="A45" s="567">
        <v>1072</v>
      </c>
      <c r="B45" s="568" t="s">
        <v>1483</v>
      </c>
      <c r="C45" s="568" t="s">
        <v>1482</v>
      </c>
      <c r="D45" s="567">
        <v>2762</v>
      </c>
      <c r="E45" s="567">
        <v>1</v>
      </c>
      <c r="F45" s="567">
        <v>21</v>
      </c>
      <c r="G45" s="567">
        <v>225</v>
      </c>
      <c r="H45" s="567">
        <v>2140</v>
      </c>
      <c r="O45" s="568" t="s">
        <v>1185</v>
      </c>
      <c r="P45" s="22">
        <f t="shared" si="0"/>
        <v>6</v>
      </c>
      <c r="Q45" s="22">
        <f t="shared" si="1"/>
        <v>96</v>
      </c>
      <c r="R45" s="22">
        <f t="shared" si="2"/>
        <v>101</v>
      </c>
    </row>
    <row r="46" spans="1:18" x14ac:dyDescent="0.2">
      <c r="A46" s="567">
        <v>1071</v>
      </c>
      <c r="B46" s="568" t="s">
        <v>1483</v>
      </c>
      <c r="C46" s="568" t="s">
        <v>1484</v>
      </c>
      <c r="D46" s="567">
        <v>2761</v>
      </c>
      <c r="E46" s="567">
        <v>1</v>
      </c>
      <c r="F46" s="567">
        <v>21</v>
      </c>
      <c r="G46" s="567">
        <v>225</v>
      </c>
      <c r="H46" s="567">
        <v>2140</v>
      </c>
      <c r="O46" s="568" t="s">
        <v>859</v>
      </c>
      <c r="P46" s="22">
        <f t="shared" si="0"/>
        <v>1</v>
      </c>
      <c r="Q46" s="22">
        <f t="shared" si="1"/>
        <v>102</v>
      </c>
      <c r="R46" s="22">
        <f t="shared" si="2"/>
        <v>102</v>
      </c>
    </row>
    <row r="47" spans="1:18" x14ac:dyDescent="0.2">
      <c r="A47" s="567">
        <v>1070</v>
      </c>
      <c r="B47" s="568" t="s">
        <v>1483</v>
      </c>
      <c r="C47" s="568" t="s">
        <v>1483</v>
      </c>
      <c r="D47" s="567">
        <v>2760</v>
      </c>
      <c r="E47" s="567">
        <v>1</v>
      </c>
      <c r="F47" s="567">
        <v>21</v>
      </c>
      <c r="G47" s="567">
        <v>225</v>
      </c>
      <c r="H47" s="567">
        <v>2140</v>
      </c>
      <c r="O47" s="568" t="s">
        <v>697</v>
      </c>
      <c r="P47" s="22">
        <f t="shared" si="0"/>
        <v>2</v>
      </c>
      <c r="Q47" s="22">
        <f t="shared" si="1"/>
        <v>103</v>
      </c>
      <c r="R47" s="22">
        <f t="shared" si="2"/>
        <v>104</v>
      </c>
    </row>
    <row r="48" spans="1:18" x14ac:dyDescent="0.2">
      <c r="A48" s="567">
        <v>515</v>
      </c>
      <c r="B48" s="568" t="s">
        <v>805</v>
      </c>
      <c r="C48" s="568" t="s">
        <v>805</v>
      </c>
      <c r="D48" s="567">
        <v>1040</v>
      </c>
      <c r="E48" s="567">
        <v>1</v>
      </c>
      <c r="F48" s="567">
        <v>1</v>
      </c>
      <c r="G48" s="567">
        <v>118</v>
      </c>
      <c r="H48" s="567">
        <v>1170</v>
      </c>
      <c r="O48" s="568" t="s">
        <v>843</v>
      </c>
      <c r="P48" s="22">
        <f t="shared" si="0"/>
        <v>1</v>
      </c>
      <c r="Q48" s="22">
        <f t="shared" si="1"/>
        <v>105</v>
      </c>
      <c r="R48" s="22">
        <f t="shared" si="2"/>
        <v>105</v>
      </c>
    </row>
    <row r="49" spans="1:18" x14ac:dyDescent="0.2">
      <c r="A49" s="567">
        <v>1097</v>
      </c>
      <c r="B49" s="568" t="s">
        <v>1461</v>
      </c>
      <c r="C49" s="568" t="s">
        <v>1461</v>
      </c>
      <c r="D49" s="567">
        <v>2840</v>
      </c>
      <c r="E49" s="567">
        <v>2</v>
      </c>
      <c r="F49" s="567">
        <v>2</v>
      </c>
      <c r="G49" s="567">
        <v>225</v>
      </c>
      <c r="H49" s="567">
        <v>2140</v>
      </c>
      <c r="O49" s="568" t="s">
        <v>1711</v>
      </c>
      <c r="P49" s="22">
        <f t="shared" si="0"/>
        <v>9</v>
      </c>
      <c r="Q49" s="22">
        <f t="shared" si="1"/>
        <v>106</v>
      </c>
      <c r="R49" s="22">
        <f t="shared" si="2"/>
        <v>114</v>
      </c>
    </row>
    <row r="50" spans="1:18" x14ac:dyDescent="0.2">
      <c r="A50" s="567">
        <v>1099</v>
      </c>
      <c r="B50" s="568" t="s">
        <v>1461</v>
      </c>
      <c r="C50" s="568" t="s">
        <v>1471</v>
      </c>
      <c r="D50" s="567">
        <v>2842</v>
      </c>
      <c r="E50" s="567">
        <v>2</v>
      </c>
      <c r="F50" s="567">
        <v>2</v>
      </c>
      <c r="G50" s="567">
        <v>225</v>
      </c>
      <c r="H50" s="567">
        <v>2140</v>
      </c>
      <c r="O50" s="568" t="s">
        <v>1186</v>
      </c>
      <c r="P50" s="22">
        <f t="shared" si="0"/>
        <v>4</v>
      </c>
      <c r="Q50" s="22">
        <f t="shared" si="1"/>
        <v>115</v>
      </c>
      <c r="R50" s="22">
        <f t="shared" si="2"/>
        <v>118</v>
      </c>
    </row>
    <row r="51" spans="1:18" x14ac:dyDescent="0.2">
      <c r="A51" s="567">
        <v>1100</v>
      </c>
      <c r="B51" s="568" t="s">
        <v>1461</v>
      </c>
      <c r="C51" s="568" t="s">
        <v>531</v>
      </c>
      <c r="D51" s="567">
        <v>2843</v>
      </c>
      <c r="E51" s="567">
        <v>2</v>
      </c>
      <c r="F51" s="567">
        <v>2</v>
      </c>
      <c r="G51" s="567">
        <v>225</v>
      </c>
      <c r="H51" s="567">
        <v>2140</v>
      </c>
      <c r="O51" s="568" t="s">
        <v>3249</v>
      </c>
      <c r="P51" s="22">
        <f t="shared" si="0"/>
        <v>1</v>
      </c>
      <c r="Q51" s="22">
        <f t="shared" si="1"/>
        <v>119</v>
      </c>
      <c r="R51" s="22">
        <f t="shared" si="2"/>
        <v>119</v>
      </c>
    </row>
    <row r="52" spans="1:18" x14ac:dyDescent="0.2">
      <c r="A52" s="567">
        <v>1098</v>
      </c>
      <c r="B52" s="568" t="s">
        <v>1461</v>
      </c>
      <c r="C52" s="568" t="s">
        <v>1500</v>
      </c>
      <c r="D52" s="567">
        <v>2841</v>
      </c>
      <c r="E52" s="567">
        <v>2</v>
      </c>
      <c r="F52" s="567">
        <v>2</v>
      </c>
      <c r="G52" s="567">
        <v>225</v>
      </c>
      <c r="H52" s="567">
        <v>2140</v>
      </c>
      <c r="O52" s="568" t="s">
        <v>1672</v>
      </c>
      <c r="P52" s="22">
        <f t="shared" si="0"/>
        <v>3</v>
      </c>
      <c r="Q52" s="22">
        <f t="shared" si="1"/>
        <v>120</v>
      </c>
      <c r="R52" s="22">
        <f t="shared" si="2"/>
        <v>122</v>
      </c>
    </row>
    <row r="53" spans="1:18" x14ac:dyDescent="0.2">
      <c r="A53" s="567">
        <v>74</v>
      </c>
      <c r="B53" s="568" t="s">
        <v>332</v>
      </c>
      <c r="C53" s="568" t="s">
        <v>70</v>
      </c>
      <c r="D53" s="567">
        <v>113</v>
      </c>
      <c r="E53" s="567">
        <v>138</v>
      </c>
      <c r="F53" s="567">
        <v>21</v>
      </c>
      <c r="G53" s="567">
        <v>128</v>
      </c>
      <c r="H53" s="567">
        <v>1121</v>
      </c>
      <c r="O53" s="568" t="s">
        <v>259</v>
      </c>
      <c r="P53" s="22">
        <f t="shared" si="0"/>
        <v>2</v>
      </c>
      <c r="Q53" s="22">
        <f t="shared" si="1"/>
        <v>123</v>
      </c>
      <c r="R53" s="22">
        <f t="shared" si="2"/>
        <v>124</v>
      </c>
    </row>
    <row r="54" spans="1:18" x14ac:dyDescent="0.2">
      <c r="A54" s="567">
        <v>75</v>
      </c>
      <c r="B54" s="568" t="s">
        <v>332</v>
      </c>
      <c r="C54" s="568" t="s">
        <v>357</v>
      </c>
      <c r="D54" s="567">
        <v>114</v>
      </c>
      <c r="E54" s="567">
        <v>138</v>
      </c>
      <c r="F54" s="567">
        <v>21</v>
      </c>
      <c r="G54" s="567">
        <v>128</v>
      </c>
      <c r="H54" s="567">
        <v>1121</v>
      </c>
      <c r="O54" s="568" t="s">
        <v>1410</v>
      </c>
      <c r="P54" s="22">
        <f t="shared" si="0"/>
        <v>1</v>
      </c>
      <c r="Q54" s="22">
        <f t="shared" si="1"/>
        <v>125</v>
      </c>
      <c r="R54" s="22">
        <f t="shared" si="2"/>
        <v>125</v>
      </c>
    </row>
    <row r="55" spans="1:18" x14ac:dyDescent="0.2">
      <c r="A55" s="567">
        <v>71</v>
      </c>
      <c r="B55" s="568" t="s">
        <v>332</v>
      </c>
      <c r="C55" s="568" t="s">
        <v>364</v>
      </c>
      <c r="D55" s="567">
        <v>110</v>
      </c>
      <c r="E55" s="567">
        <v>138</v>
      </c>
      <c r="F55" s="567">
        <v>21</v>
      </c>
      <c r="G55" s="567">
        <v>128</v>
      </c>
      <c r="H55" s="567">
        <v>1121</v>
      </c>
      <c r="O55" s="568" t="s">
        <v>2848</v>
      </c>
      <c r="P55" s="22">
        <f t="shared" si="0"/>
        <v>1</v>
      </c>
      <c r="Q55" s="22">
        <f t="shared" si="1"/>
        <v>126</v>
      </c>
      <c r="R55" s="22">
        <f t="shared" si="2"/>
        <v>126</v>
      </c>
    </row>
    <row r="56" spans="1:18" x14ac:dyDescent="0.2">
      <c r="A56" s="567">
        <v>72</v>
      </c>
      <c r="B56" s="568" t="s">
        <v>332</v>
      </c>
      <c r="C56" s="568" t="s">
        <v>365</v>
      </c>
      <c r="D56" s="567">
        <v>111</v>
      </c>
      <c r="E56" s="567">
        <v>138</v>
      </c>
      <c r="F56" s="567">
        <v>21</v>
      </c>
      <c r="G56" s="567">
        <v>128</v>
      </c>
      <c r="H56" s="567">
        <v>1121</v>
      </c>
      <c r="O56" s="568" t="s">
        <v>2976</v>
      </c>
      <c r="P56" s="22">
        <f t="shared" si="0"/>
        <v>6</v>
      </c>
      <c r="Q56" s="22">
        <f t="shared" si="1"/>
        <v>127</v>
      </c>
      <c r="R56" s="22">
        <f t="shared" si="2"/>
        <v>132</v>
      </c>
    </row>
    <row r="57" spans="1:18" x14ac:dyDescent="0.2">
      <c r="A57" s="567">
        <v>73</v>
      </c>
      <c r="B57" s="568" t="s">
        <v>332</v>
      </c>
      <c r="C57" s="568" t="s">
        <v>366</v>
      </c>
      <c r="D57" s="567">
        <v>112</v>
      </c>
      <c r="E57" s="567">
        <v>138</v>
      </c>
      <c r="F57" s="567">
        <v>21</v>
      </c>
      <c r="G57" s="567">
        <v>128</v>
      </c>
      <c r="H57" s="567">
        <v>1121</v>
      </c>
      <c r="O57" s="568" t="s">
        <v>3238</v>
      </c>
      <c r="P57" s="22">
        <f t="shared" si="0"/>
        <v>6</v>
      </c>
      <c r="Q57" s="22">
        <f t="shared" si="1"/>
        <v>133</v>
      </c>
      <c r="R57" s="22">
        <f t="shared" si="2"/>
        <v>138</v>
      </c>
    </row>
    <row r="58" spans="1:18" x14ac:dyDescent="0.2">
      <c r="A58" s="567">
        <v>849</v>
      </c>
      <c r="B58" s="568" t="s">
        <v>464</v>
      </c>
      <c r="C58" s="568" t="s">
        <v>464</v>
      </c>
      <c r="D58" s="567">
        <v>2135</v>
      </c>
      <c r="E58" s="567">
        <v>2</v>
      </c>
      <c r="F58" s="567">
        <v>18</v>
      </c>
      <c r="G58" s="567">
        <v>117</v>
      </c>
      <c r="H58" s="567">
        <v>1130</v>
      </c>
      <c r="O58" s="568" t="s">
        <v>2828</v>
      </c>
      <c r="P58" s="22">
        <f t="shared" si="0"/>
        <v>1</v>
      </c>
      <c r="Q58" s="22">
        <f t="shared" si="1"/>
        <v>139</v>
      </c>
      <c r="R58" s="22">
        <f t="shared" si="2"/>
        <v>139</v>
      </c>
    </row>
    <row r="59" spans="1:18" x14ac:dyDescent="0.2">
      <c r="A59" s="567">
        <v>2054</v>
      </c>
      <c r="B59" s="568" t="s">
        <v>1720</v>
      </c>
      <c r="C59" s="568" t="s">
        <v>1720</v>
      </c>
      <c r="D59" s="567">
        <v>5830</v>
      </c>
      <c r="E59" s="567">
        <v>1</v>
      </c>
      <c r="F59" s="567">
        <v>7</v>
      </c>
      <c r="G59" s="567">
        <v>325</v>
      </c>
      <c r="H59" s="567">
        <v>3160</v>
      </c>
      <c r="O59" s="568" t="s">
        <v>1426</v>
      </c>
      <c r="P59" s="22">
        <f t="shared" si="0"/>
        <v>2</v>
      </c>
      <c r="Q59" s="22">
        <f t="shared" si="1"/>
        <v>140</v>
      </c>
      <c r="R59" s="22">
        <f t="shared" si="2"/>
        <v>141</v>
      </c>
    </row>
    <row r="60" spans="1:18" x14ac:dyDescent="0.2">
      <c r="A60" s="567">
        <v>2055</v>
      </c>
      <c r="B60" s="568" t="s">
        <v>1720</v>
      </c>
      <c r="C60" s="568" t="s">
        <v>2360</v>
      </c>
      <c r="D60" s="567">
        <v>5831</v>
      </c>
      <c r="E60" s="567">
        <v>1</v>
      </c>
      <c r="F60" s="567">
        <v>7</v>
      </c>
      <c r="G60" s="567">
        <v>325</v>
      </c>
      <c r="H60" s="567">
        <v>3160</v>
      </c>
      <c r="O60" s="568" t="s">
        <v>2242</v>
      </c>
      <c r="P60" s="22">
        <f t="shared" si="0"/>
        <v>3</v>
      </c>
      <c r="Q60" s="22">
        <f t="shared" si="1"/>
        <v>142</v>
      </c>
      <c r="R60" s="22">
        <f t="shared" si="2"/>
        <v>144</v>
      </c>
    </row>
    <row r="61" spans="1:18" x14ac:dyDescent="0.2">
      <c r="A61" s="567">
        <v>3261</v>
      </c>
      <c r="B61" s="568" t="s">
        <v>2856</v>
      </c>
      <c r="C61" s="568" t="s">
        <v>2856</v>
      </c>
      <c r="D61" s="567">
        <v>9460</v>
      </c>
      <c r="E61" s="567">
        <v>3</v>
      </c>
      <c r="F61" s="567">
        <v>10</v>
      </c>
      <c r="G61" s="567">
        <v>436</v>
      </c>
      <c r="H61" s="567">
        <v>4120</v>
      </c>
      <c r="O61" s="568" t="s">
        <v>2805</v>
      </c>
      <c r="P61" s="22">
        <f t="shared" si="0"/>
        <v>6</v>
      </c>
      <c r="Q61" s="22">
        <f t="shared" si="1"/>
        <v>145</v>
      </c>
      <c r="R61" s="22">
        <f t="shared" si="2"/>
        <v>150</v>
      </c>
    </row>
    <row r="62" spans="1:18" x14ac:dyDescent="0.2">
      <c r="A62" s="567">
        <v>3262</v>
      </c>
      <c r="B62" s="568" t="s">
        <v>2856</v>
      </c>
      <c r="C62" s="568" t="s">
        <v>2866</v>
      </c>
      <c r="D62" s="567">
        <v>9461</v>
      </c>
      <c r="E62" s="567">
        <v>3</v>
      </c>
      <c r="F62" s="567">
        <v>10</v>
      </c>
      <c r="G62" s="567">
        <v>436</v>
      </c>
      <c r="H62" s="567">
        <v>4120</v>
      </c>
      <c r="O62" s="568" t="s">
        <v>213</v>
      </c>
      <c r="P62" s="22">
        <f t="shared" si="0"/>
        <v>4</v>
      </c>
      <c r="Q62" s="22">
        <f t="shared" si="1"/>
        <v>151</v>
      </c>
      <c r="R62" s="22">
        <f t="shared" si="2"/>
        <v>154</v>
      </c>
    </row>
    <row r="63" spans="1:18" x14ac:dyDescent="0.2">
      <c r="A63" s="567">
        <v>791</v>
      </c>
      <c r="B63" s="568" t="s">
        <v>847</v>
      </c>
      <c r="C63" s="568" t="s">
        <v>846</v>
      </c>
      <c r="D63" s="567">
        <v>1902</v>
      </c>
      <c r="E63" s="567">
        <v>21</v>
      </c>
      <c r="F63" s="567">
        <v>2</v>
      </c>
      <c r="G63" s="567">
        <v>116</v>
      </c>
      <c r="H63" s="567">
        <v>1180</v>
      </c>
      <c r="O63" s="568" t="s">
        <v>734</v>
      </c>
      <c r="P63" s="22">
        <f t="shared" si="0"/>
        <v>1</v>
      </c>
      <c r="Q63" s="22">
        <f t="shared" si="1"/>
        <v>155</v>
      </c>
      <c r="R63" s="22">
        <f t="shared" si="2"/>
        <v>155</v>
      </c>
    </row>
    <row r="64" spans="1:18" x14ac:dyDescent="0.2">
      <c r="A64" s="567">
        <v>790</v>
      </c>
      <c r="B64" s="568" t="s">
        <v>847</v>
      </c>
      <c r="C64" s="568" t="s">
        <v>848</v>
      </c>
      <c r="D64" s="567">
        <v>1901</v>
      </c>
      <c r="E64" s="567">
        <v>21</v>
      </c>
      <c r="F64" s="567">
        <v>2</v>
      </c>
      <c r="G64" s="567">
        <v>116</v>
      </c>
      <c r="H64" s="567">
        <v>1180</v>
      </c>
      <c r="O64" s="568" t="s">
        <v>392</v>
      </c>
      <c r="P64" s="22">
        <f t="shared" si="0"/>
        <v>1</v>
      </c>
      <c r="Q64" s="22">
        <f t="shared" si="1"/>
        <v>156</v>
      </c>
      <c r="R64" s="22">
        <f t="shared" si="2"/>
        <v>156</v>
      </c>
    </row>
    <row r="65" spans="1:18" x14ac:dyDescent="0.2">
      <c r="A65" s="567">
        <v>789</v>
      </c>
      <c r="B65" s="568" t="s">
        <v>847</v>
      </c>
      <c r="C65" s="568" t="s">
        <v>849</v>
      </c>
      <c r="D65" s="567">
        <v>1900</v>
      </c>
      <c r="E65" s="567">
        <v>21</v>
      </c>
      <c r="F65" s="567">
        <v>2</v>
      </c>
      <c r="G65" s="567">
        <v>116</v>
      </c>
      <c r="H65" s="567">
        <v>1180</v>
      </c>
      <c r="O65" s="568" t="s">
        <v>3222</v>
      </c>
      <c r="P65" s="22">
        <f t="shared" si="0"/>
        <v>1</v>
      </c>
      <c r="Q65" s="22">
        <f t="shared" si="1"/>
        <v>157</v>
      </c>
      <c r="R65" s="22">
        <f t="shared" si="2"/>
        <v>157</v>
      </c>
    </row>
    <row r="66" spans="1:18" x14ac:dyDescent="0.2">
      <c r="A66" s="567">
        <v>734</v>
      </c>
      <c r="B66" s="568" t="s">
        <v>867</v>
      </c>
      <c r="C66" s="568" t="s">
        <v>866</v>
      </c>
      <c r="D66" s="567">
        <v>1692</v>
      </c>
      <c r="E66" s="567">
        <v>76</v>
      </c>
      <c r="F66" s="567">
        <v>2</v>
      </c>
      <c r="G66" s="567">
        <v>116</v>
      </c>
      <c r="H66" s="567">
        <v>1180</v>
      </c>
      <c r="O66" s="568" t="s">
        <v>2762</v>
      </c>
      <c r="P66" s="22">
        <f t="shared" si="0"/>
        <v>3</v>
      </c>
      <c r="Q66" s="22">
        <f t="shared" si="1"/>
        <v>158</v>
      </c>
      <c r="R66" s="22">
        <f t="shared" si="2"/>
        <v>160</v>
      </c>
    </row>
    <row r="67" spans="1:18" x14ac:dyDescent="0.2">
      <c r="A67" s="567">
        <v>733</v>
      </c>
      <c r="B67" s="568" t="s">
        <v>867</v>
      </c>
      <c r="C67" s="568" t="s">
        <v>868</v>
      </c>
      <c r="D67" s="567">
        <v>1691</v>
      </c>
      <c r="E67" s="567">
        <v>76</v>
      </c>
      <c r="F67" s="567">
        <v>2</v>
      </c>
      <c r="G67" s="567">
        <v>116</v>
      </c>
      <c r="H67" s="567">
        <v>1180</v>
      </c>
      <c r="O67" s="568" t="s">
        <v>1096</v>
      </c>
      <c r="P67" s="22">
        <f t="shared" si="0"/>
        <v>1</v>
      </c>
      <c r="Q67" s="22">
        <f t="shared" si="1"/>
        <v>161</v>
      </c>
      <c r="R67" s="22">
        <f t="shared" si="2"/>
        <v>161</v>
      </c>
    </row>
    <row r="68" spans="1:18" x14ac:dyDescent="0.2">
      <c r="A68" s="567">
        <v>732</v>
      </c>
      <c r="B68" s="568" t="s">
        <v>867</v>
      </c>
      <c r="C68" s="568" t="s">
        <v>464</v>
      </c>
      <c r="D68" s="567">
        <v>1690</v>
      </c>
      <c r="E68" s="567">
        <v>76</v>
      </c>
      <c r="F68" s="567">
        <v>2</v>
      </c>
      <c r="G68" s="567">
        <v>116</v>
      </c>
      <c r="H68" s="567">
        <v>1180</v>
      </c>
      <c r="O68" s="568" t="s">
        <v>1097</v>
      </c>
      <c r="P68" s="22">
        <f t="shared" si="0"/>
        <v>1</v>
      </c>
      <c r="Q68" s="22">
        <f t="shared" si="1"/>
        <v>162</v>
      </c>
      <c r="R68" s="22">
        <f t="shared" si="2"/>
        <v>162</v>
      </c>
    </row>
    <row r="69" spans="1:18" x14ac:dyDescent="0.2">
      <c r="A69" s="567">
        <v>701</v>
      </c>
      <c r="B69" s="568" t="s">
        <v>657</v>
      </c>
      <c r="C69" s="568" t="s">
        <v>657</v>
      </c>
      <c r="D69" s="567">
        <v>1560</v>
      </c>
      <c r="E69" s="567">
        <v>1</v>
      </c>
      <c r="F69" s="567">
        <v>17</v>
      </c>
      <c r="G69" s="567">
        <v>115</v>
      </c>
      <c r="H69" s="567">
        <v>1161</v>
      </c>
      <c r="O69" s="568" t="s">
        <v>215</v>
      </c>
      <c r="P69" s="22">
        <f t="shared" si="0"/>
        <v>4</v>
      </c>
      <c r="Q69" s="22">
        <f t="shared" si="1"/>
        <v>163</v>
      </c>
      <c r="R69" s="22">
        <f t="shared" si="2"/>
        <v>166</v>
      </c>
    </row>
    <row r="70" spans="1:18" x14ac:dyDescent="0.2">
      <c r="A70" s="567">
        <v>702</v>
      </c>
      <c r="B70" s="568" t="s">
        <v>657</v>
      </c>
      <c r="C70" s="568" t="s">
        <v>659</v>
      </c>
      <c r="D70" s="567">
        <v>1561</v>
      </c>
      <c r="E70" s="567">
        <v>1</v>
      </c>
      <c r="F70" s="567">
        <v>17</v>
      </c>
      <c r="G70" s="567">
        <v>115</v>
      </c>
      <c r="H70" s="567">
        <v>1161</v>
      </c>
      <c r="O70" s="568" t="s">
        <v>1867</v>
      </c>
      <c r="P70" s="22">
        <f t="shared" si="0"/>
        <v>1</v>
      </c>
      <c r="Q70" s="22">
        <f t="shared" si="1"/>
        <v>167</v>
      </c>
      <c r="R70" s="22">
        <f t="shared" si="2"/>
        <v>167</v>
      </c>
    </row>
    <row r="71" spans="1:18" x14ac:dyDescent="0.2">
      <c r="A71" s="567">
        <v>703</v>
      </c>
      <c r="B71" s="568" t="s">
        <v>657</v>
      </c>
      <c r="C71" s="568" t="s">
        <v>660</v>
      </c>
      <c r="D71" s="567">
        <v>1562</v>
      </c>
      <c r="E71" s="567">
        <v>1</v>
      </c>
      <c r="F71" s="567">
        <v>17</v>
      </c>
      <c r="G71" s="567">
        <v>115</v>
      </c>
      <c r="H71" s="567">
        <v>1161</v>
      </c>
      <c r="O71" s="568" t="s">
        <v>2839</v>
      </c>
      <c r="P71" s="22">
        <f t="shared" si="0"/>
        <v>4</v>
      </c>
      <c r="Q71" s="22">
        <f t="shared" si="1"/>
        <v>168</v>
      </c>
      <c r="R71" s="22">
        <f t="shared" si="2"/>
        <v>171</v>
      </c>
    </row>
    <row r="72" spans="1:18" x14ac:dyDescent="0.2">
      <c r="A72" s="567">
        <v>2479</v>
      </c>
      <c r="B72" s="568" t="s">
        <v>2078</v>
      </c>
      <c r="C72" s="568" t="s">
        <v>2078</v>
      </c>
      <c r="D72" s="567">
        <v>7100</v>
      </c>
      <c r="E72" s="567">
        <v>4</v>
      </c>
      <c r="F72" s="567">
        <v>6</v>
      </c>
      <c r="G72" s="567">
        <v>336</v>
      </c>
      <c r="H72" s="567">
        <v>3130</v>
      </c>
      <c r="O72" s="568" t="s">
        <v>219</v>
      </c>
      <c r="P72" s="22">
        <f t="shared" si="0"/>
        <v>5</v>
      </c>
      <c r="Q72" s="22">
        <f t="shared" si="1"/>
        <v>172</v>
      </c>
      <c r="R72" s="22">
        <f t="shared" si="2"/>
        <v>176</v>
      </c>
    </row>
    <row r="73" spans="1:18" x14ac:dyDescent="0.2">
      <c r="A73" s="567">
        <v>3260</v>
      </c>
      <c r="B73" s="568" t="s">
        <v>2868</v>
      </c>
      <c r="C73" s="568" t="s">
        <v>2868</v>
      </c>
      <c r="D73" s="567">
        <v>9450</v>
      </c>
      <c r="E73" s="567">
        <v>4</v>
      </c>
      <c r="F73" s="567">
        <v>10</v>
      </c>
      <c r="G73" s="567">
        <v>436</v>
      </c>
      <c r="H73" s="567">
        <v>4120</v>
      </c>
      <c r="O73" s="568" t="s">
        <v>2064</v>
      </c>
      <c r="P73" s="22">
        <f t="shared" si="0"/>
        <v>4</v>
      </c>
      <c r="Q73" s="22">
        <f t="shared" si="1"/>
        <v>177</v>
      </c>
      <c r="R73" s="22">
        <f t="shared" si="2"/>
        <v>180</v>
      </c>
    </row>
    <row r="74" spans="1:18" x14ac:dyDescent="0.2">
      <c r="A74" s="567">
        <v>2435</v>
      </c>
      <c r="B74" s="568" t="s">
        <v>2485</v>
      </c>
      <c r="C74" s="568" t="s">
        <v>2485</v>
      </c>
      <c r="D74" s="567">
        <v>6990</v>
      </c>
      <c r="E74" s="567">
        <v>2</v>
      </c>
      <c r="F74" s="567">
        <v>7</v>
      </c>
      <c r="G74" s="567">
        <v>337</v>
      </c>
      <c r="H74" s="567">
        <v>3180</v>
      </c>
      <c r="O74" s="568" t="s">
        <v>2767</v>
      </c>
      <c r="P74" s="22">
        <f t="shared" si="0"/>
        <v>2</v>
      </c>
      <c r="Q74" s="22">
        <f t="shared" si="1"/>
        <v>181</v>
      </c>
      <c r="R74" s="22">
        <f t="shared" si="2"/>
        <v>182</v>
      </c>
    </row>
    <row r="75" spans="1:18" x14ac:dyDescent="0.2">
      <c r="A75" s="567">
        <v>2437</v>
      </c>
      <c r="B75" s="568" t="s">
        <v>2485</v>
      </c>
      <c r="C75" s="568" t="s">
        <v>2521</v>
      </c>
      <c r="D75" s="567">
        <v>6992</v>
      </c>
      <c r="E75" s="567">
        <v>2</v>
      </c>
      <c r="F75" s="567">
        <v>7</v>
      </c>
      <c r="G75" s="567">
        <v>337</v>
      </c>
      <c r="H75" s="567">
        <v>3180</v>
      </c>
      <c r="O75" s="568" t="s">
        <v>441</v>
      </c>
      <c r="P75" s="22">
        <f t="shared" si="0"/>
        <v>3</v>
      </c>
      <c r="Q75" s="22">
        <f t="shared" si="1"/>
        <v>183</v>
      </c>
      <c r="R75" s="22">
        <f t="shared" si="2"/>
        <v>185</v>
      </c>
    </row>
    <row r="76" spans="1:18" x14ac:dyDescent="0.2">
      <c r="A76" s="567">
        <v>2438</v>
      </c>
      <c r="B76" s="568" t="s">
        <v>2485</v>
      </c>
      <c r="C76" s="568" t="s">
        <v>365</v>
      </c>
      <c r="D76" s="567">
        <v>6993</v>
      </c>
      <c r="E76" s="567">
        <v>2</v>
      </c>
      <c r="F76" s="567">
        <v>7</v>
      </c>
      <c r="G76" s="567">
        <v>337</v>
      </c>
      <c r="H76" s="567">
        <v>3180</v>
      </c>
      <c r="O76" s="568" t="s">
        <v>1731</v>
      </c>
      <c r="P76" s="22">
        <f t="shared" si="0"/>
        <v>7</v>
      </c>
      <c r="Q76" s="22">
        <f t="shared" si="1"/>
        <v>186</v>
      </c>
      <c r="R76" s="22">
        <f t="shared" si="2"/>
        <v>192</v>
      </c>
    </row>
    <row r="77" spans="1:18" x14ac:dyDescent="0.2">
      <c r="A77" s="567">
        <v>2439</v>
      </c>
      <c r="B77" s="568" t="s">
        <v>2485</v>
      </c>
      <c r="C77" s="568" t="s">
        <v>2522</v>
      </c>
      <c r="D77" s="567">
        <v>6994</v>
      </c>
      <c r="E77" s="567">
        <v>2</v>
      </c>
      <c r="F77" s="567">
        <v>7</v>
      </c>
      <c r="G77" s="567">
        <v>337</v>
      </c>
      <c r="H77" s="567">
        <v>3180</v>
      </c>
      <c r="O77" s="568" t="s">
        <v>538</v>
      </c>
      <c r="P77" s="22">
        <f t="shared" si="0"/>
        <v>3</v>
      </c>
      <c r="Q77" s="22">
        <f t="shared" si="1"/>
        <v>193</v>
      </c>
      <c r="R77" s="22">
        <f t="shared" si="2"/>
        <v>195</v>
      </c>
    </row>
    <row r="78" spans="1:18" x14ac:dyDescent="0.2">
      <c r="A78" s="567">
        <v>2440</v>
      </c>
      <c r="B78" s="568" t="s">
        <v>2485</v>
      </c>
      <c r="C78" s="568" t="s">
        <v>2523</v>
      </c>
      <c r="D78" s="567">
        <v>6995</v>
      </c>
      <c r="E78" s="567">
        <v>2</v>
      </c>
      <c r="F78" s="567">
        <v>7</v>
      </c>
      <c r="G78" s="567">
        <v>337</v>
      </c>
      <c r="H78" s="567">
        <v>3180</v>
      </c>
      <c r="O78" s="568" t="s">
        <v>1637</v>
      </c>
      <c r="P78" s="22">
        <f t="shared" si="0"/>
        <v>4</v>
      </c>
      <c r="Q78" s="22">
        <f t="shared" si="1"/>
        <v>196</v>
      </c>
      <c r="R78" s="22">
        <f t="shared" si="2"/>
        <v>199</v>
      </c>
    </row>
    <row r="79" spans="1:18" x14ac:dyDescent="0.2">
      <c r="A79" s="567">
        <v>2436</v>
      </c>
      <c r="B79" s="568" t="s">
        <v>2485</v>
      </c>
      <c r="C79" s="568" t="s">
        <v>2526</v>
      </c>
      <c r="D79" s="567">
        <v>6991</v>
      </c>
      <c r="E79" s="567">
        <v>2</v>
      </c>
      <c r="F79" s="567">
        <v>7</v>
      </c>
      <c r="G79" s="567">
        <v>337</v>
      </c>
      <c r="H79" s="567">
        <v>3180</v>
      </c>
      <c r="O79" s="568" t="s">
        <v>1896</v>
      </c>
      <c r="P79" s="22">
        <f t="shared" ref="P79:P142" si="3">COUNTIF($B$13:$B$3400,O79)</f>
        <v>5</v>
      </c>
      <c r="Q79" s="22">
        <f t="shared" si="1"/>
        <v>200</v>
      </c>
      <c r="R79" s="22">
        <f t="shared" si="2"/>
        <v>204</v>
      </c>
    </row>
    <row r="80" spans="1:18" x14ac:dyDescent="0.2">
      <c r="A80" s="567">
        <v>822</v>
      </c>
      <c r="B80" s="568" t="s">
        <v>412</v>
      </c>
      <c r="C80" s="568" t="s">
        <v>412</v>
      </c>
      <c r="D80" s="567">
        <v>2035</v>
      </c>
      <c r="E80" s="567">
        <v>3</v>
      </c>
      <c r="F80" s="567">
        <v>18</v>
      </c>
      <c r="G80" s="567">
        <v>117</v>
      </c>
      <c r="H80" s="567">
        <v>1130</v>
      </c>
      <c r="O80" s="568" t="s">
        <v>1650</v>
      </c>
      <c r="P80" s="22">
        <f t="shared" si="3"/>
        <v>7</v>
      </c>
      <c r="Q80" s="22">
        <f t="shared" si="1"/>
        <v>205</v>
      </c>
      <c r="R80" s="22">
        <f t="shared" si="2"/>
        <v>211</v>
      </c>
    </row>
    <row r="81" spans="1:18" x14ac:dyDescent="0.2">
      <c r="A81" s="567">
        <v>2790</v>
      </c>
      <c r="B81" s="568" t="s">
        <v>2597</v>
      </c>
      <c r="C81" s="568" t="s">
        <v>2596</v>
      </c>
      <c r="D81" s="567">
        <v>7990</v>
      </c>
      <c r="E81" s="567">
        <v>79</v>
      </c>
      <c r="F81" s="567">
        <v>15</v>
      </c>
      <c r="G81" s="567">
        <v>417</v>
      </c>
      <c r="H81" s="567">
        <v>4100</v>
      </c>
      <c r="O81" s="568" t="s">
        <v>271</v>
      </c>
      <c r="P81" s="22">
        <f t="shared" si="3"/>
        <v>14</v>
      </c>
      <c r="Q81" s="22">
        <f t="shared" ref="Q81:Q144" si="4">R80+1</f>
        <v>212</v>
      </c>
      <c r="R81" s="22">
        <f t="shared" ref="R81:R144" si="5">R80+P81</f>
        <v>225</v>
      </c>
    </row>
    <row r="82" spans="1:18" x14ac:dyDescent="0.2">
      <c r="A82" s="567">
        <v>2791</v>
      </c>
      <c r="B82" s="568" t="s">
        <v>2597</v>
      </c>
      <c r="C82" s="568" t="s">
        <v>2598</v>
      </c>
      <c r="D82" s="567">
        <v>7991</v>
      </c>
      <c r="E82" s="567">
        <v>79</v>
      </c>
      <c r="F82" s="567">
        <v>15</v>
      </c>
      <c r="G82" s="567">
        <v>417</v>
      </c>
      <c r="H82" s="567">
        <v>4100</v>
      </c>
      <c r="O82" s="568" t="s">
        <v>2147</v>
      </c>
      <c r="P82" s="22">
        <f t="shared" si="3"/>
        <v>2</v>
      </c>
      <c r="Q82" s="22">
        <f t="shared" si="4"/>
        <v>226</v>
      </c>
      <c r="R82" s="22">
        <f t="shared" si="5"/>
        <v>227</v>
      </c>
    </row>
    <row r="83" spans="1:18" x14ac:dyDescent="0.2">
      <c r="A83" s="567">
        <v>2792</v>
      </c>
      <c r="B83" s="568" t="s">
        <v>2597</v>
      </c>
      <c r="C83" s="568" t="s">
        <v>1087</v>
      </c>
      <c r="D83" s="567">
        <v>7992</v>
      </c>
      <c r="E83" s="567">
        <v>79</v>
      </c>
      <c r="F83" s="567">
        <v>15</v>
      </c>
      <c r="G83" s="567">
        <v>417</v>
      </c>
      <c r="H83" s="567">
        <v>4100</v>
      </c>
      <c r="O83" s="568" t="s">
        <v>533</v>
      </c>
      <c r="P83" s="22">
        <f t="shared" si="3"/>
        <v>9</v>
      </c>
      <c r="Q83" s="22">
        <f t="shared" si="4"/>
        <v>228</v>
      </c>
      <c r="R83" s="22">
        <f t="shared" si="5"/>
        <v>236</v>
      </c>
    </row>
    <row r="84" spans="1:18" x14ac:dyDescent="0.2">
      <c r="A84" s="567">
        <v>2797</v>
      </c>
      <c r="B84" s="568" t="s">
        <v>2597</v>
      </c>
      <c r="C84" s="568" t="s">
        <v>679</v>
      </c>
      <c r="D84" s="567">
        <v>7997</v>
      </c>
      <c r="E84" s="567">
        <v>79</v>
      </c>
      <c r="F84" s="567">
        <v>15</v>
      </c>
      <c r="G84" s="567">
        <v>417</v>
      </c>
      <c r="H84" s="567">
        <v>4100</v>
      </c>
      <c r="O84" s="568" t="s">
        <v>1212</v>
      </c>
      <c r="P84" s="22">
        <f t="shared" si="3"/>
        <v>2</v>
      </c>
      <c r="Q84" s="22">
        <f t="shared" si="4"/>
        <v>237</v>
      </c>
      <c r="R84" s="22">
        <f t="shared" si="5"/>
        <v>238</v>
      </c>
    </row>
    <row r="85" spans="1:18" x14ac:dyDescent="0.2">
      <c r="A85" s="567">
        <v>2794</v>
      </c>
      <c r="B85" s="568" t="s">
        <v>2597</v>
      </c>
      <c r="C85" s="568" t="s">
        <v>2599</v>
      </c>
      <c r="D85" s="567">
        <v>7994</v>
      </c>
      <c r="E85" s="567">
        <v>79</v>
      </c>
      <c r="F85" s="567">
        <v>15</v>
      </c>
      <c r="G85" s="567">
        <v>417</v>
      </c>
      <c r="H85" s="567">
        <v>4100</v>
      </c>
      <c r="O85" s="568" t="s">
        <v>2506</v>
      </c>
      <c r="P85" s="22">
        <f t="shared" si="3"/>
        <v>4</v>
      </c>
      <c r="Q85" s="22">
        <f t="shared" si="4"/>
        <v>239</v>
      </c>
      <c r="R85" s="22">
        <f t="shared" si="5"/>
        <v>242</v>
      </c>
    </row>
    <row r="86" spans="1:18" x14ac:dyDescent="0.2">
      <c r="A86" s="567">
        <v>2796</v>
      </c>
      <c r="B86" s="568" t="s">
        <v>2597</v>
      </c>
      <c r="C86" s="568" t="s">
        <v>2600</v>
      </c>
      <c r="D86" s="567">
        <v>7996</v>
      </c>
      <c r="E86" s="567">
        <v>79</v>
      </c>
      <c r="F86" s="567">
        <v>15</v>
      </c>
      <c r="G86" s="567">
        <v>417</v>
      </c>
      <c r="H86" s="567">
        <v>4100</v>
      </c>
      <c r="O86" s="568" t="s">
        <v>1273</v>
      </c>
      <c r="P86" s="22">
        <f t="shared" si="3"/>
        <v>2</v>
      </c>
      <c r="Q86" s="22">
        <f t="shared" si="4"/>
        <v>243</v>
      </c>
      <c r="R86" s="22">
        <f t="shared" si="5"/>
        <v>244</v>
      </c>
    </row>
    <row r="87" spans="1:18" x14ac:dyDescent="0.2">
      <c r="A87" s="567">
        <v>2795</v>
      </c>
      <c r="B87" s="568" t="s">
        <v>2597</v>
      </c>
      <c r="C87" s="568" t="s">
        <v>2603</v>
      </c>
      <c r="D87" s="567">
        <v>7995</v>
      </c>
      <c r="E87" s="567">
        <v>79</v>
      </c>
      <c r="F87" s="567">
        <v>15</v>
      </c>
      <c r="G87" s="567">
        <v>417</v>
      </c>
      <c r="H87" s="567">
        <v>4100</v>
      </c>
      <c r="O87" s="568" t="s">
        <v>2758</v>
      </c>
      <c r="P87" s="22">
        <f t="shared" si="3"/>
        <v>4</v>
      </c>
      <c r="Q87" s="22">
        <f t="shared" si="4"/>
        <v>245</v>
      </c>
      <c r="R87" s="22">
        <f t="shared" si="5"/>
        <v>248</v>
      </c>
    </row>
    <row r="88" spans="1:18" x14ac:dyDescent="0.2">
      <c r="A88" s="567">
        <v>2793</v>
      </c>
      <c r="B88" s="568" t="s">
        <v>2597</v>
      </c>
      <c r="C88" s="568" t="s">
        <v>2604</v>
      </c>
      <c r="D88" s="567">
        <v>7993</v>
      </c>
      <c r="E88" s="567">
        <v>79</v>
      </c>
      <c r="F88" s="567">
        <v>15</v>
      </c>
      <c r="G88" s="567">
        <v>417</v>
      </c>
      <c r="H88" s="567">
        <v>4100</v>
      </c>
      <c r="O88" s="568" t="s">
        <v>1679</v>
      </c>
      <c r="P88" s="22">
        <f t="shared" si="3"/>
        <v>6</v>
      </c>
      <c r="Q88" s="22">
        <f t="shared" si="4"/>
        <v>249</v>
      </c>
      <c r="R88" s="22">
        <f t="shared" si="5"/>
        <v>254</v>
      </c>
    </row>
    <row r="89" spans="1:18" x14ac:dyDescent="0.2">
      <c r="A89" s="567">
        <v>2798</v>
      </c>
      <c r="B89" s="568" t="s">
        <v>2597</v>
      </c>
      <c r="C89" s="568" t="s">
        <v>2610</v>
      </c>
      <c r="D89" s="567">
        <v>7998</v>
      </c>
      <c r="E89" s="567">
        <v>79</v>
      </c>
      <c r="F89" s="567">
        <v>15</v>
      </c>
      <c r="G89" s="567">
        <v>417</v>
      </c>
      <c r="H89" s="567">
        <v>4100</v>
      </c>
      <c r="O89" s="568" t="s">
        <v>429</v>
      </c>
      <c r="P89" s="22">
        <f t="shared" si="3"/>
        <v>3</v>
      </c>
      <c r="Q89" s="22">
        <f t="shared" si="4"/>
        <v>255</v>
      </c>
      <c r="R89" s="22">
        <f t="shared" si="5"/>
        <v>257</v>
      </c>
    </row>
    <row r="90" spans="1:18" x14ac:dyDescent="0.2">
      <c r="A90" s="567">
        <v>2183</v>
      </c>
      <c r="B90" s="568" t="s">
        <v>759</v>
      </c>
      <c r="C90" s="568" t="s">
        <v>759</v>
      </c>
      <c r="D90" s="567">
        <v>6260</v>
      </c>
      <c r="E90" s="567">
        <v>2</v>
      </c>
      <c r="F90" s="567">
        <v>16</v>
      </c>
      <c r="G90" s="567">
        <v>327</v>
      </c>
      <c r="H90" s="567">
        <v>3170</v>
      </c>
      <c r="O90" s="568" t="s">
        <v>2913</v>
      </c>
      <c r="P90" s="22">
        <f t="shared" si="3"/>
        <v>5</v>
      </c>
      <c r="Q90" s="22">
        <f t="shared" si="4"/>
        <v>258</v>
      </c>
      <c r="R90" s="22">
        <f t="shared" si="5"/>
        <v>262</v>
      </c>
    </row>
    <row r="91" spans="1:18" x14ac:dyDescent="0.2">
      <c r="A91" s="567">
        <v>2184</v>
      </c>
      <c r="B91" s="568" t="s">
        <v>759</v>
      </c>
      <c r="C91" s="568" t="s">
        <v>2448</v>
      </c>
      <c r="D91" s="567">
        <v>6261</v>
      </c>
      <c r="E91" s="567">
        <v>2</v>
      </c>
      <c r="F91" s="567">
        <v>16</v>
      </c>
      <c r="G91" s="567">
        <v>327</v>
      </c>
      <c r="H91" s="567">
        <v>3170</v>
      </c>
      <c r="O91" s="568" t="s">
        <v>2811</v>
      </c>
      <c r="P91" s="22">
        <f t="shared" si="3"/>
        <v>6</v>
      </c>
      <c r="Q91" s="22">
        <f t="shared" si="4"/>
        <v>263</v>
      </c>
      <c r="R91" s="22">
        <f t="shared" si="5"/>
        <v>268</v>
      </c>
    </row>
    <row r="92" spans="1:18" x14ac:dyDescent="0.2">
      <c r="A92" s="567">
        <v>627</v>
      </c>
      <c r="B92" s="568" t="s">
        <v>161</v>
      </c>
      <c r="C92" s="568" t="s">
        <v>160</v>
      </c>
      <c r="D92" s="567">
        <v>1372</v>
      </c>
      <c r="E92" s="567">
        <v>1</v>
      </c>
      <c r="F92" s="567">
        <v>18</v>
      </c>
      <c r="G92" s="567">
        <v>119</v>
      </c>
      <c r="H92" s="567">
        <v>1110</v>
      </c>
      <c r="O92" s="568" t="s">
        <v>543</v>
      </c>
      <c r="P92" s="22">
        <f t="shared" si="3"/>
        <v>1</v>
      </c>
      <c r="Q92" s="22">
        <f t="shared" si="4"/>
        <v>269</v>
      </c>
      <c r="R92" s="22">
        <f t="shared" si="5"/>
        <v>269</v>
      </c>
    </row>
    <row r="93" spans="1:18" x14ac:dyDescent="0.2">
      <c r="A93" s="567">
        <v>626</v>
      </c>
      <c r="B93" s="568" t="s">
        <v>161</v>
      </c>
      <c r="C93" s="568" t="s">
        <v>162</v>
      </c>
      <c r="D93" s="567">
        <v>1371</v>
      </c>
      <c r="E93" s="567">
        <v>1</v>
      </c>
      <c r="F93" s="567">
        <v>18</v>
      </c>
      <c r="G93" s="567">
        <v>119</v>
      </c>
      <c r="H93" s="567">
        <v>1110</v>
      </c>
      <c r="O93" s="568" t="s">
        <v>2845</v>
      </c>
      <c r="P93" s="22">
        <f t="shared" si="3"/>
        <v>10</v>
      </c>
      <c r="Q93" s="22">
        <f t="shared" si="4"/>
        <v>270</v>
      </c>
      <c r="R93" s="22">
        <f t="shared" si="5"/>
        <v>279</v>
      </c>
    </row>
    <row r="94" spans="1:18" x14ac:dyDescent="0.2">
      <c r="A94" s="567">
        <v>625</v>
      </c>
      <c r="B94" s="568" t="s">
        <v>161</v>
      </c>
      <c r="C94" s="568" t="s">
        <v>161</v>
      </c>
      <c r="D94" s="567">
        <v>1370</v>
      </c>
      <c r="E94" s="567">
        <v>1</v>
      </c>
      <c r="F94" s="567">
        <v>18</v>
      </c>
      <c r="G94" s="567">
        <v>119</v>
      </c>
      <c r="H94" s="567">
        <v>1110</v>
      </c>
      <c r="O94" s="568" t="s">
        <v>1150</v>
      </c>
      <c r="P94" s="22">
        <f t="shared" si="3"/>
        <v>10</v>
      </c>
      <c r="Q94" s="22">
        <f t="shared" si="4"/>
        <v>280</v>
      </c>
      <c r="R94" s="22">
        <f t="shared" si="5"/>
        <v>289</v>
      </c>
    </row>
    <row r="95" spans="1:18" x14ac:dyDescent="0.2">
      <c r="A95" s="567">
        <v>2309</v>
      </c>
      <c r="B95" s="568" t="s">
        <v>2317</v>
      </c>
      <c r="C95" s="568" t="s">
        <v>2317</v>
      </c>
      <c r="D95" s="567">
        <v>6650</v>
      </c>
      <c r="E95" s="567">
        <v>2</v>
      </c>
      <c r="F95" s="567">
        <v>4</v>
      </c>
      <c r="G95" s="567">
        <v>335</v>
      </c>
      <c r="H95" s="567">
        <v>3151</v>
      </c>
      <c r="O95" s="568" t="s">
        <v>1969</v>
      </c>
      <c r="P95" s="22">
        <f t="shared" si="3"/>
        <v>3</v>
      </c>
      <c r="Q95" s="22">
        <f t="shared" si="4"/>
        <v>290</v>
      </c>
      <c r="R95" s="22">
        <f t="shared" si="5"/>
        <v>292</v>
      </c>
    </row>
    <row r="96" spans="1:18" x14ac:dyDescent="0.2">
      <c r="A96" s="567">
        <v>2310</v>
      </c>
      <c r="B96" s="568" t="s">
        <v>2317</v>
      </c>
      <c r="C96" s="568" t="s">
        <v>2318</v>
      </c>
      <c r="D96" s="567">
        <v>6651</v>
      </c>
      <c r="E96" s="567">
        <v>2</v>
      </c>
      <c r="F96" s="567">
        <v>4</v>
      </c>
      <c r="G96" s="567">
        <v>335</v>
      </c>
      <c r="H96" s="567">
        <v>3151</v>
      </c>
      <c r="O96" s="568" t="s">
        <v>2797</v>
      </c>
      <c r="P96" s="22">
        <f t="shared" si="3"/>
        <v>1</v>
      </c>
      <c r="Q96" s="22">
        <f t="shared" si="4"/>
        <v>293</v>
      </c>
      <c r="R96" s="22">
        <f t="shared" si="5"/>
        <v>293</v>
      </c>
    </row>
    <row r="97" spans="1:18" x14ac:dyDescent="0.2">
      <c r="A97" s="567">
        <v>2311</v>
      </c>
      <c r="B97" s="568" t="s">
        <v>2317</v>
      </c>
      <c r="C97" s="568" t="s">
        <v>2319</v>
      </c>
      <c r="D97" s="567">
        <v>6652</v>
      </c>
      <c r="E97" s="567">
        <v>2</v>
      </c>
      <c r="F97" s="567">
        <v>4</v>
      </c>
      <c r="G97" s="567">
        <v>335</v>
      </c>
      <c r="H97" s="567">
        <v>3151</v>
      </c>
      <c r="O97" s="568" t="s">
        <v>1227</v>
      </c>
      <c r="P97" s="22">
        <f t="shared" si="3"/>
        <v>5</v>
      </c>
      <c r="Q97" s="22">
        <f t="shared" si="4"/>
        <v>294</v>
      </c>
      <c r="R97" s="22">
        <f t="shared" si="5"/>
        <v>298</v>
      </c>
    </row>
    <row r="98" spans="1:18" x14ac:dyDescent="0.2">
      <c r="A98" s="567">
        <v>2312</v>
      </c>
      <c r="B98" s="568" t="s">
        <v>2317</v>
      </c>
      <c r="C98" s="568" t="s">
        <v>2320</v>
      </c>
      <c r="D98" s="567">
        <v>6653</v>
      </c>
      <c r="E98" s="567">
        <v>2</v>
      </c>
      <c r="F98" s="567">
        <v>4</v>
      </c>
      <c r="G98" s="567">
        <v>335</v>
      </c>
      <c r="H98" s="567">
        <v>3151</v>
      </c>
      <c r="O98" s="568" t="s">
        <v>2798</v>
      </c>
      <c r="P98" s="22">
        <f t="shared" si="3"/>
        <v>1</v>
      </c>
      <c r="Q98" s="22">
        <f t="shared" si="4"/>
        <v>299</v>
      </c>
      <c r="R98" s="22">
        <f t="shared" si="5"/>
        <v>299</v>
      </c>
    </row>
    <row r="99" spans="1:18" x14ac:dyDescent="0.2">
      <c r="A99" s="567">
        <v>3035</v>
      </c>
      <c r="B99" s="568" t="s">
        <v>2719</v>
      </c>
      <c r="C99" s="568" t="s">
        <v>2719</v>
      </c>
      <c r="D99" s="567">
        <v>8725</v>
      </c>
      <c r="E99" s="567">
        <v>5</v>
      </c>
      <c r="F99" s="567">
        <v>11</v>
      </c>
      <c r="G99" s="567">
        <v>426</v>
      </c>
      <c r="H99" s="567">
        <v>4110</v>
      </c>
      <c r="O99" s="568" t="s">
        <v>2450</v>
      </c>
      <c r="P99" s="22">
        <f t="shared" si="3"/>
        <v>1</v>
      </c>
      <c r="Q99" s="22">
        <f t="shared" si="4"/>
        <v>300</v>
      </c>
      <c r="R99" s="22">
        <f t="shared" si="5"/>
        <v>300</v>
      </c>
    </row>
    <row r="100" spans="1:18" x14ac:dyDescent="0.2">
      <c r="A100" s="567">
        <v>3044</v>
      </c>
      <c r="B100" s="568" t="s">
        <v>2768</v>
      </c>
      <c r="C100" s="568" t="s">
        <v>2768</v>
      </c>
      <c r="D100" s="567">
        <v>8770</v>
      </c>
      <c r="E100" s="567">
        <v>6</v>
      </c>
      <c r="F100" s="567">
        <v>11</v>
      </c>
      <c r="G100" s="567">
        <v>426</v>
      </c>
      <c r="H100" s="567">
        <v>4110</v>
      </c>
      <c r="O100" s="568" t="s">
        <v>1852</v>
      </c>
      <c r="P100" s="22">
        <f t="shared" si="3"/>
        <v>12</v>
      </c>
      <c r="Q100" s="22">
        <f t="shared" si="4"/>
        <v>301</v>
      </c>
      <c r="R100" s="22">
        <f t="shared" si="5"/>
        <v>312</v>
      </c>
    </row>
    <row r="101" spans="1:18" x14ac:dyDescent="0.2">
      <c r="A101" s="567">
        <v>2896</v>
      </c>
      <c r="B101" s="568" t="s">
        <v>3199</v>
      </c>
      <c r="C101" s="568" t="s">
        <v>630</v>
      </c>
      <c r="D101" s="567">
        <v>8333</v>
      </c>
      <c r="E101" s="567">
        <v>2</v>
      </c>
      <c r="F101" s="567">
        <v>12</v>
      </c>
      <c r="G101" s="567">
        <v>425</v>
      </c>
      <c r="H101" s="567">
        <v>4170</v>
      </c>
      <c r="O101" s="568" t="s">
        <v>3251</v>
      </c>
      <c r="P101" s="22">
        <f t="shared" si="3"/>
        <v>1</v>
      </c>
      <c r="Q101" s="22">
        <f t="shared" si="4"/>
        <v>313</v>
      </c>
      <c r="R101" s="22">
        <f t="shared" si="5"/>
        <v>313</v>
      </c>
    </row>
    <row r="102" spans="1:18" x14ac:dyDescent="0.2">
      <c r="A102" s="567">
        <v>2897</v>
      </c>
      <c r="B102" s="568" t="s">
        <v>3199</v>
      </c>
      <c r="C102" s="568" t="s">
        <v>3200</v>
      </c>
      <c r="D102" s="567">
        <v>8334</v>
      </c>
      <c r="E102" s="567">
        <v>2</v>
      </c>
      <c r="F102" s="567">
        <v>12</v>
      </c>
      <c r="G102" s="567">
        <v>425</v>
      </c>
      <c r="H102" s="567">
        <v>4170</v>
      </c>
      <c r="O102" s="568" t="s">
        <v>1984</v>
      </c>
      <c r="P102" s="22">
        <f t="shared" si="3"/>
        <v>2</v>
      </c>
      <c r="Q102" s="22">
        <f t="shared" si="4"/>
        <v>314</v>
      </c>
      <c r="R102" s="22">
        <f t="shared" si="5"/>
        <v>315</v>
      </c>
    </row>
    <row r="103" spans="1:18" x14ac:dyDescent="0.2">
      <c r="A103" s="567">
        <v>2895</v>
      </c>
      <c r="B103" s="568" t="s">
        <v>3199</v>
      </c>
      <c r="C103" s="568" t="s">
        <v>849</v>
      </c>
      <c r="D103" s="567">
        <v>8332</v>
      </c>
      <c r="E103" s="567">
        <v>2</v>
      </c>
      <c r="F103" s="567">
        <v>12</v>
      </c>
      <c r="G103" s="567">
        <v>425</v>
      </c>
      <c r="H103" s="567">
        <v>4170</v>
      </c>
      <c r="O103" s="568" t="s">
        <v>852</v>
      </c>
      <c r="P103" s="22">
        <f t="shared" si="3"/>
        <v>2</v>
      </c>
      <c r="Q103" s="22">
        <f t="shared" si="4"/>
        <v>316</v>
      </c>
      <c r="R103" s="22">
        <f t="shared" si="5"/>
        <v>317</v>
      </c>
    </row>
    <row r="104" spans="1:18" x14ac:dyDescent="0.2">
      <c r="A104" s="567">
        <v>2893</v>
      </c>
      <c r="B104" s="568" t="s">
        <v>3199</v>
      </c>
      <c r="C104" s="568" t="s">
        <v>3199</v>
      </c>
      <c r="D104" s="567">
        <v>8330</v>
      </c>
      <c r="E104" s="567">
        <v>2</v>
      </c>
      <c r="F104" s="567">
        <v>12</v>
      </c>
      <c r="G104" s="567">
        <v>425</v>
      </c>
      <c r="H104" s="567">
        <v>4170</v>
      </c>
      <c r="O104" s="568" t="s">
        <v>3278</v>
      </c>
      <c r="P104" s="22">
        <f t="shared" si="3"/>
        <v>2</v>
      </c>
      <c r="Q104" s="22">
        <f t="shared" si="4"/>
        <v>318</v>
      </c>
      <c r="R104" s="22">
        <f t="shared" si="5"/>
        <v>319</v>
      </c>
    </row>
    <row r="105" spans="1:18" x14ac:dyDescent="0.2">
      <c r="A105" s="567">
        <v>2894</v>
      </c>
      <c r="B105" s="568" t="s">
        <v>3199</v>
      </c>
      <c r="C105" s="568" t="s">
        <v>3301</v>
      </c>
      <c r="D105" s="567">
        <v>8331</v>
      </c>
      <c r="E105" s="567">
        <v>2</v>
      </c>
      <c r="F105" s="567">
        <v>12</v>
      </c>
      <c r="G105" s="567">
        <v>425</v>
      </c>
      <c r="H105" s="567">
        <v>4170</v>
      </c>
      <c r="O105" s="568" t="s">
        <v>1394</v>
      </c>
      <c r="P105" s="22">
        <f t="shared" si="3"/>
        <v>1</v>
      </c>
      <c r="Q105" s="22">
        <f t="shared" si="4"/>
        <v>320</v>
      </c>
      <c r="R105" s="22">
        <f t="shared" si="5"/>
        <v>320</v>
      </c>
    </row>
    <row r="106" spans="1:18" x14ac:dyDescent="0.2">
      <c r="A106" s="567">
        <v>589</v>
      </c>
      <c r="B106" s="568" t="s">
        <v>256</v>
      </c>
      <c r="C106" s="568" t="s">
        <v>255</v>
      </c>
      <c r="D106" s="567">
        <v>1281</v>
      </c>
      <c r="E106" s="567">
        <v>3</v>
      </c>
      <c r="F106" s="567">
        <v>2</v>
      </c>
      <c r="G106" s="567">
        <v>119</v>
      </c>
      <c r="H106" s="567">
        <v>1110</v>
      </c>
      <c r="O106" s="568" t="s">
        <v>2455</v>
      </c>
      <c r="P106" s="22">
        <f t="shared" si="3"/>
        <v>1</v>
      </c>
      <c r="Q106" s="22">
        <f t="shared" si="4"/>
        <v>321</v>
      </c>
      <c r="R106" s="22">
        <f t="shared" si="5"/>
        <v>321</v>
      </c>
    </row>
    <row r="107" spans="1:18" x14ac:dyDescent="0.2">
      <c r="A107" s="567">
        <v>588</v>
      </c>
      <c r="B107" s="568" t="s">
        <v>256</v>
      </c>
      <c r="C107" s="568" t="s">
        <v>257</v>
      </c>
      <c r="D107" s="567">
        <v>1280</v>
      </c>
      <c r="E107" s="567">
        <v>3</v>
      </c>
      <c r="F107" s="567">
        <v>2</v>
      </c>
      <c r="G107" s="567">
        <v>119</v>
      </c>
      <c r="H107" s="567">
        <v>1110</v>
      </c>
      <c r="O107" s="568" t="s">
        <v>117</v>
      </c>
      <c r="P107" s="22">
        <f t="shared" si="3"/>
        <v>1</v>
      </c>
      <c r="Q107" s="22">
        <f t="shared" si="4"/>
        <v>322</v>
      </c>
      <c r="R107" s="22">
        <f t="shared" si="5"/>
        <v>322</v>
      </c>
    </row>
    <row r="108" spans="1:18" x14ac:dyDescent="0.2">
      <c r="A108" s="567">
        <v>1651</v>
      </c>
      <c r="B108" s="568" t="s">
        <v>1185</v>
      </c>
      <c r="C108" s="568" t="s">
        <v>1184</v>
      </c>
      <c r="D108" s="567">
        <v>4531</v>
      </c>
      <c r="E108" s="567">
        <v>2</v>
      </c>
      <c r="F108" s="567">
        <v>6</v>
      </c>
      <c r="G108" s="567">
        <v>237</v>
      </c>
      <c r="H108" s="567">
        <v>2110</v>
      </c>
      <c r="O108" s="568" t="s">
        <v>603</v>
      </c>
      <c r="P108" s="22">
        <f t="shared" si="3"/>
        <v>2</v>
      </c>
      <c r="Q108" s="22">
        <f t="shared" si="4"/>
        <v>323</v>
      </c>
      <c r="R108" s="22">
        <f t="shared" si="5"/>
        <v>324</v>
      </c>
    </row>
    <row r="109" spans="1:18" x14ac:dyDescent="0.2">
      <c r="A109" s="567">
        <v>1655</v>
      </c>
      <c r="B109" s="568" t="s">
        <v>1185</v>
      </c>
      <c r="C109" s="568" t="s">
        <v>1195</v>
      </c>
      <c r="D109" s="567">
        <v>4535</v>
      </c>
      <c r="E109" s="567">
        <v>2</v>
      </c>
      <c r="F109" s="567">
        <v>6</v>
      </c>
      <c r="G109" s="567">
        <v>237</v>
      </c>
      <c r="H109" s="567">
        <v>2110</v>
      </c>
      <c r="O109" s="568" t="s">
        <v>3217</v>
      </c>
      <c r="P109" s="22">
        <f t="shared" si="3"/>
        <v>1</v>
      </c>
      <c r="Q109" s="22">
        <f t="shared" si="4"/>
        <v>325</v>
      </c>
      <c r="R109" s="22">
        <f t="shared" si="5"/>
        <v>325</v>
      </c>
    </row>
    <row r="110" spans="1:18" x14ac:dyDescent="0.2">
      <c r="A110" s="567">
        <v>1654</v>
      </c>
      <c r="B110" s="568" t="s">
        <v>1185</v>
      </c>
      <c r="C110" s="568" t="s">
        <v>1196</v>
      </c>
      <c r="D110" s="567">
        <v>4534</v>
      </c>
      <c r="E110" s="567">
        <v>2</v>
      </c>
      <c r="F110" s="567">
        <v>6</v>
      </c>
      <c r="G110" s="567">
        <v>237</v>
      </c>
      <c r="H110" s="567">
        <v>2110</v>
      </c>
      <c r="O110" s="568" t="s">
        <v>840</v>
      </c>
      <c r="P110" s="22">
        <f t="shared" si="3"/>
        <v>2</v>
      </c>
      <c r="Q110" s="22">
        <f t="shared" si="4"/>
        <v>326</v>
      </c>
      <c r="R110" s="22">
        <f t="shared" si="5"/>
        <v>327</v>
      </c>
    </row>
    <row r="111" spans="1:18" x14ac:dyDescent="0.2">
      <c r="A111" s="567">
        <v>1652</v>
      </c>
      <c r="B111" s="568" t="s">
        <v>1185</v>
      </c>
      <c r="C111" s="568" t="s">
        <v>1199</v>
      </c>
      <c r="D111" s="567">
        <v>4532</v>
      </c>
      <c r="E111" s="567">
        <v>2</v>
      </c>
      <c r="F111" s="567">
        <v>6</v>
      </c>
      <c r="G111" s="567">
        <v>237</v>
      </c>
      <c r="H111" s="567">
        <v>2110</v>
      </c>
      <c r="O111" s="568" t="s">
        <v>789</v>
      </c>
      <c r="P111" s="22">
        <f t="shared" si="3"/>
        <v>1</v>
      </c>
      <c r="Q111" s="22">
        <f t="shared" si="4"/>
        <v>328</v>
      </c>
      <c r="R111" s="22">
        <f t="shared" si="5"/>
        <v>328</v>
      </c>
    </row>
    <row r="112" spans="1:18" x14ac:dyDescent="0.2">
      <c r="A112" s="567">
        <v>1650</v>
      </c>
      <c r="B112" s="568" t="s">
        <v>1185</v>
      </c>
      <c r="C112" s="568" t="s">
        <v>1185</v>
      </c>
      <c r="D112" s="567">
        <v>4530</v>
      </c>
      <c r="E112" s="567">
        <v>2</v>
      </c>
      <c r="F112" s="567">
        <v>6</v>
      </c>
      <c r="G112" s="567">
        <v>237</v>
      </c>
      <c r="H112" s="567">
        <v>2110</v>
      </c>
      <c r="O112" s="568" t="s">
        <v>2793</v>
      </c>
      <c r="P112" s="22">
        <f t="shared" si="3"/>
        <v>1</v>
      </c>
      <c r="Q112" s="22">
        <f t="shared" si="4"/>
        <v>329</v>
      </c>
      <c r="R112" s="22">
        <f t="shared" si="5"/>
        <v>329</v>
      </c>
    </row>
    <row r="113" spans="1:18" x14ac:dyDescent="0.2">
      <c r="A113" s="567">
        <v>1653</v>
      </c>
      <c r="B113" s="568" t="s">
        <v>1185</v>
      </c>
      <c r="C113" s="568" t="s">
        <v>1208</v>
      </c>
      <c r="D113" s="567">
        <v>4533</v>
      </c>
      <c r="E113" s="567">
        <v>2</v>
      </c>
      <c r="F113" s="567">
        <v>6</v>
      </c>
      <c r="G113" s="567">
        <v>237</v>
      </c>
      <c r="H113" s="567">
        <v>2110</v>
      </c>
      <c r="O113" s="568" t="s">
        <v>2842</v>
      </c>
      <c r="P113" s="22">
        <f t="shared" si="3"/>
        <v>1</v>
      </c>
      <c r="Q113" s="22">
        <f t="shared" si="4"/>
        <v>330</v>
      </c>
      <c r="R113" s="22">
        <f t="shared" si="5"/>
        <v>330</v>
      </c>
    </row>
    <row r="114" spans="1:18" x14ac:dyDescent="0.2">
      <c r="A114" s="567">
        <v>742</v>
      </c>
      <c r="B114" s="568" t="s">
        <v>859</v>
      </c>
      <c r="C114" s="568" t="s">
        <v>859</v>
      </c>
      <c r="D114" s="567">
        <v>1730</v>
      </c>
      <c r="E114" s="567">
        <v>4</v>
      </c>
      <c r="F114" s="567">
        <v>2</v>
      </c>
      <c r="G114" s="567">
        <v>116</v>
      </c>
      <c r="H114" s="567">
        <v>1180</v>
      </c>
      <c r="O114" s="568" t="s">
        <v>2121</v>
      </c>
      <c r="P114" s="22">
        <f t="shared" si="3"/>
        <v>1</v>
      </c>
      <c r="Q114" s="22">
        <f t="shared" si="4"/>
        <v>331</v>
      </c>
      <c r="R114" s="22">
        <f t="shared" si="5"/>
        <v>331</v>
      </c>
    </row>
    <row r="115" spans="1:18" x14ac:dyDescent="0.2">
      <c r="A115" s="567">
        <v>714</v>
      </c>
      <c r="B115" s="568" t="s">
        <v>697</v>
      </c>
      <c r="C115" s="568" t="s">
        <v>697</v>
      </c>
      <c r="D115" s="567">
        <v>1615</v>
      </c>
      <c r="E115" s="567">
        <v>2</v>
      </c>
      <c r="F115" s="567">
        <v>2</v>
      </c>
      <c r="G115" s="567">
        <v>115</v>
      </c>
      <c r="H115" s="567">
        <v>1161</v>
      </c>
      <c r="O115" s="568" t="s">
        <v>3287</v>
      </c>
      <c r="P115" s="22">
        <f t="shared" si="3"/>
        <v>2</v>
      </c>
      <c r="Q115" s="22">
        <f t="shared" si="4"/>
        <v>332</v>
      </c>
      <c r="R115" s="22">
        <f t="shared" si="5"/>
        <v>333</v>
      </c>
    </row>
    <row r="116" spans="1:18" x14ac:dyDescent="0.2">
      <c r="A116" s="567">
        <v>796</v>
      </c>
      <c r="B116" s="568" t="s">
        <v>697</v>
      </c>
      <c r="C116" s="568" t="s">
        <v>697</v>
      </c>
      <c r="D116" s="567">
        <v>1930</v>
      </c>
      <c r="E116" s="567">
        <v>5</v>
      </c>
      <c r="F116" s="567">
        <v>2</v>
      </c>
      <c r="G116" s="567">
        <v>116</v>
      </c>
      <c r="H116" s="567">
        <v>1180</v>
      </c>
      <c r="O116" s="568" t="s">
        <v>164</v>
      </c>
      <c r="P116" s="22">
        <f t="shared" si="3"/>
        <v>9</v>
      </c>
      <c r="Q116" s="22">
        <f t="shared" si="4"/>
        <v>334</v>
      </c>
      <c r="R116" s="22">
        <f t="shared" si="5"/>
        <v>342</v>
      </c>
    </row>
    <row r="117" spans="1:18" x14ac:dyDescent="0.2">
      <c r="A117" s="567">
        <v>794</v>
      </c>
      <c r="B117" s="568" t="s">
        <v>843</v>
      </c>
      <c r="C117" s="568" t="s">
        <v>843</v>
      </c>
      <c r="D117" s="567">
        <v>1920</v>
      </c>
      <c r="E117" s="567">
        <v>6</v>
      </c>
      <c r="F117" s="567">
        <v>2</v>
      </c>
      <c r="G117" s="567">
        <v>116</v>
      </c>
      <c r="H117" s="567">
        <v>1180</v>
      </c>
      <c r="O117" s="568" t="s">
        <v>2734</v>
      </c>
      <c r="P117" s="22">
        <f t="shared" si="3"/>
        <v>1</v>
      </c>
      <c r="Q117" s="22">
        <f t="shared" si="4"/>
        <v>343</v>
      </c>
      <c r="R117" s="22">
        <f t="shared" si="5"/>
        <v>343</v>
      </c>
    </row>
    <row r="118" spans="1:18" x14ac:dyDescent="0.2">
      <c r="A118" s="567">
        <v>1559</v>
      </c>
      <c r="B118" s="568" t="s">
        <v>1711</v>
      </c>
      <c r="C118" s="568" t="s">
        <v>1710</v>
      </c>
      <c r="D118" s="567">
        <v>4268</v>
      </c>
      <c r="E118" s="567">
        <v>6</v>
      </c>
      <c r="F118" s="567">
        <v>7</v>
      </c>
      <c r="G118" s="567">
        <v>235</v>
      </c>
      <c r="H118" s="567">
        <v>2160</v>
      </c>
      <c r="O118" s="568" t="s">
        <v>3171</v>
      </c>
      <c r="P118" s="22">
        <f t="shared" si="3"/>
        <v>2</v>
      </c>
      <c r="Q118" s="22">
        <f t="shared" si="4"/>
        <v>344</v>
      </c>
      <c r="R118" s="22">
        <f t="shared" si="5"/>
        <v>345</v>
      </c>
    </row>
    <row r="119" spans="1:18" x14ac:dyDescent="0.2">
      <c r="A119" s="567">
        <v>1558</v>
      </c>
      <c r="B119" s="568" t="s">
        <v>1711</v>
      </c>
      <c r="C119" s="568" t="s">
        <v>1714</v>
      </c>
      <c r="D119" s="567">
        <v>4267</v>
      </c>
      <c r="E119" s="567">
        <v>6</v>
      </c>
      <c r="F119" s="567">
        <v>7</v>
      </c>
      <c r="G119" s="567">
        <v>235</v>
      </c>
      <c r="H119" s="567">
        <v>2160</v>
      </c>
      <c r="O119" s="568" t="s">
        <v>2535</v>
      </c>
      <c r="P119" s="22">
        <f t="shared" si="3"/>
        <v>1</v>
      </c>
      <c r="Q119" s="22">
        <f t="shared" si="4"/>
        <v>346</v>
      </c>
      <c r="R119" s="22">
        <f t="shared" si="5"/>
        <v>346</v>
      </c>
    </row>
    <row r="120" spans="1:18" x14ac:dyDescent="0.2">
      <c r="A120" s="567">
        <v>1551</v>
      </c>
      <c r="B120" s="568" t="s">
        <v>1711</v>
      </c>
      <c r="C120" s="568" t="s">
        <v>1711</v>
      </c>
      <c r="D120" s="567">
        <v>4260</v>
      </c>
      <c r="E120" s="567">
        <v>6</v>
      </c>
      <c r="F120" s="567">
        <v>7</v>
      </c>
      <c r="G120" s="567">
        <v>235</v>
      </c>
      <c r="H120" s="567">
        <v>2160</v>
      </c>
      <c r="O120" s="568" t="s">
        <v>3257</v>
      </c>
      <c r="P120" s="22">
        <f t="shared" si="3"/>
        <v>1</v>
      </c>
      <c r="Q120" s="22">
        <f t="shared" si="4"/>
        <v>347</v>
      </c>
      <c r="R120" s="22">
        <f t="shared" si="5"/>
        <v>347</v>
      </c>
    </row>
    <row r="121" spans="1:18" x14ac:dyDescent="0.2">
      <c r="A121" s="567">
        <v>1552</v>
      </c>
      <c r="B121" s="568" t="s">
        <v>1711</v>
      </c>
      <c r="C121" s="568" t="s">
        <v>1716</v>
      </c>
      <c r="D121" s="567">
        <v>4261</v>
      </c>
      <c r="E121" s="567">
        <v>6</v>
      </c>
      <c r="F121" s="567">
        <v>7</v>
      </c>
      <c r="G121" s="567">
        <v>235</v>
      </c>
      <c r="H121" s="567">
        <v>2160</v>
      </c>
      <c r="O121" s="568" t="s">
        <v>771</v>
      </c>
      <c r="P121" s="22">
        <f t="shared" si="3"/>
        <v>2</v>
      </c>
      <c r="Q121" s="22">
        <f t="shared" si="4"/>
        <v>348</v>
      </c>
      <c r="R121" s="22">
        <f t="shared" si="5"/>
        <v>349</v>
      </c>
    </row>
    <row r="122" spans="1:18" x14ac:dyDescent="0.2">
      <c r="A122" s="567">
        <v>1553</v>
      </c>
      <c r="B122" s="568" t="s">
        <v>1711</v>
      </c>
      <c r="C122" s="568" t="s">
        <v>1717</v>
      </c>
      <c r="D122" s="567">
        <v>4262</v>
      </c>
      <c r="E122" s="567">
        <v>6</v>
      </c>
      <c r="F122" s="567">
        <v>7</v>
      </c>
      <c r="G122" s="567">
        <v>235</v>
      </c>
      <c r="H122" s="567">
        <v>2160</v>
      </c>
      <c r="O122" s="568" t="s">
        <v>2718</v>
      </c>
      <c r="P122" s="22">
        <f t="shared" si="3"/>
        <v>1</v>
      </c>
      <c r="Q122" s="22">
        <f t="shared" si="4"/>
        <v>350</v>
      </c>
      <c r="R122" s="22">
        <f t="shared" si="5"/>
        <v>350</v>
      </c>
    </row>
    <row r="123" spans="1:18" x14ac:dyDescent="0.2">
      <c r="A123" s="567">
        <v>1554</v>
      </c>
      <c r="B123" s="568" t="s">
        <v>1711</v>
      </c>
      <c r="C123" s="568" t="s">
        <v>1718</v>
      </c>
      <c r="D123" s="567">
        <v>4263</v>
      </c>
      <c r="E123" s="567">
        <v>6</v>
      </c>
      <c r="F123" s="567">
        <v>7</v>
      </c>
      <c r="G123" s="567">
        <v>235</v>
      </c>
      <c r="H123" s="567">
        <v>2160</v>
      </c>
      <c r="O123" s="568" t="s">
        <v>1198</v>
      </c>
      <c r="P123" s="22">
        <f t="shared" si="3"/>
        <v>2</v>
      </c>
      <c r="Q123" s="22">
        <f t="shared" si="4"/>
        <v>351</v>
      </c>
      <c r="R123" s="22">
        <f t="shared" si="5"/>
        <v>352</v>
      </c>
    </row>
    <row r="124" spans="1:18" x14ac:dyDescent="0.2">
      <c r="A124" s="567">
        <v>1555</v>
      </c>
      <c r="B124" s="568" t="s">
        <v>1711</v>
      </c>
      <c r="C124" s="568" t="s">
        <v>1000</v>
      </c>
      <c r="D124" s="567">
        <v>4264</v>
      </c>
      <c r="E124" s="567">
        <v>6</v>
      </c>
      <c r="F124" s="567">
        <v>7</v>
      </c>
      <c r="G124" s="567">
        <v>235</v>
      </c>
      <c r="H124" s="567">
        <v>2160</v>
      </c>
      <c r="O124" s="568" t="s">
        <v>838</v>
      </c>
      <c r="P124" s="22">
        <f t="shared" si="3"/>
        <v>1</v>
      </c>
      <c r="Q124" s="22">
        <f t="shared" si="4"/>
        <v>353</v>
      </c>
      <c r="R124" s="22">
        <f t="shared" si="5"/>
        <v>353</v>
      </c>
    </row>
    <row r="125" spans="1:18" x14ac:dyDescent="0.2">
      <c r="A125" s="567">
        <v>1556</v>
      </c>
      <c r="B125" s="568" t="s">
        <v>1711</v>
      </c>
      <c r="C125" s="568" t="s">
        <v>801</v>
      </c>
      <c r="D125" s="567">
        <v>4265</v>
      </c>
      <c r="E125" s="567">
        <v>6</v>
      </c>
      <c r="F125" s="567">
        <v>7</v>
      </c>
      <c r="G125" s="567">
        <v>235</v>
      </c>
      <c r="H125" s="567">
        <v>2160</v>
      </c>
      <c r="O125" s="568" t="s">
        <v>3116</v>
      </c>
      <c r="P125" s="22">
        <f t="shared" si="3"/>
        <v>2</v>
      </c>
      <c r="Q125" s="22">
        <f t="shared" si="4"/>
        <v>354</v>
      </c>
      <c r="R125" s="22">
        <f t="shared" si="5"/>
        <v>355</v>
      </c>
    </row>
    <row r="126" spans="1:18" x14ac:dyDescent="0.2">
      <c r="A126" s="567">
        <v>1557</v>
      </c>
      <c r="B126" s="568" t="s">
        <v>1711</v>
      </c>
      <c r="C126" s="568" t="s">
        <v>1719</v>
      </c>
      <c r="D126" s="567">
        <v>4266</v>
      </c>
      <c r="E126" s="567">
        <v>6</v>
      </c>
      <c r="F126" s="567">
        <v>7</v>
      </c>
      <c r="G126" s="567">
        <v>235</v>
      </c>
      <c r="H126" s="567">
        <v>2160</v>
      </c>
      <c r="O126" s="568" t="s">
        <v>581</v>
      </c>
      <c r="P126" s="22">
        <f t="shared" si="3"/>
        <v>2</v>
      </c>
      <c r="Q126" s="22">
        <f t="shared" si="4"/>
        <v>356</v>
      </c>
      <c r="R126" s="22">
        <f t="shared" si="5"/>
        <v>357</v>
      </c>
    </row>
    <row r="127" spans="1:18" x14ac:dyDescent="0.2">
      <c r="A127" s="567">
        <v>3025</v>
      </c>
      <c r="B127" s="568" t="s">
        <v>1186</v>
      </c>
      <c r="C127" s="568" t="s">
        <v>1186</v>
      </c>
      <c r="D127" s="567">
        <v>8690</v>
      </c>
      <c r="E127" s="567">
        <v>8</v>
      </c>
      <c r="F127" s="567">
        <v>11</v>
      </c>
      <c r="G127" s="567">
        <v>426</v>
      </c>
      <c r="H127" s="567">
        <v>4110</v>
      </c>
      <c r="O127" s="568" t="s">
        <v>2782</v>
      </c>
      <c r="P127" s="22">
        <f t="shared" si="3"/>
        <v>5</v>
      </c>
      <c r="Q127" s="22">
        <f t="shared" si="4"/>
        <v>358</v>
      </c>
      <c r="R127" s="22">
        <f t="shared" si="5"/>
        <v>362</v>
      </c>
    </row>
    <row r="128" spans="1:18" x14ac:dyDescent="0.2">
      <c r="A128" s="567">
        <v>3026</v>
      </c>
      <c r="B128" s="568" t="s">
        <v>1186</v>
      </c>
      <c r="C128" s="568" t="s">
        <v>2711</v>
      </c>
      <c r="D128" s="567">
        <v>8691</v>
      </c>
      <c r="E128" s="567">
        <v>8</v>
      </c>
      <c r="F128" s="567">
        <v>11</v>
      </c>
      <c r="G128" s="567">
        <v>426</v>
      </c>
      <c r="H128" s="567">
        <v>4110</v>
      </c>
      <c r="O128" s="568" t="s">
        <v>1818</v>
      </c>
      <c r="P128" s="22">
        <f t="shared" si="3"/>
        <v>1</v>
      </c>
      <c r="Q128" s="22">
        <f t="shared" si="4"/>
        <v>363</v>
      </c>
      <c r="R128" s="22">
        <f t="shared" si="5"/>
        <v>363</v>
      </c>
    </row>
    <row r="129" spans="1:18" x14ac:dyDescent="0.2">
      <c r="A129" s="567">
        <v>3027</v>
      </c>
      <c r="B129" s="568" t="s">
        <v>1186</v>
      </c>
      <c r="C129" s="568" t="s">
        <v>118</v>
      </c>
      <c r="D129" s="567">
        <v>8692</v>
      </c>
      <c r="E129" s="567">
        <v>8</v>
      </c>
      <c r="F129" s="567">
        <v>11</v>
      </c>
      <c r="G129" s="567">
        <v>426</v>
      </c>
      <c r="H129" s="567">
        <v>4110</v>
      </c>
      <c r="O129" s="568" t="s">
        <v>797</v>
      </c>
      <c r="P129" s="22">
        <f t="shared" si="3"/>
        <v>1</v>
      </c>
      <c r="Q129" s="22">
        <f t="shared" si="4"/>
        <v>364</v>
      </c>
      <c r="R129" s="22">
        <f t="shared" si="5"/>
        <v>364</v>
      </c>
    </row>
    <row r="130" spans="1:18" x14ac:dyDescent="0.2">
      <c r="A130" s="567">
        <v>2898</v>
      </c>
      <c r="B130" s="568" t="s">
        <v>1186</v>
      </c>
      <c r="C130" s="568" t="s">
        <v>1186</v>
      </c>
      <c r="D130" s="567">
        <v>8340</v>
      </c>
      <c r="E130" s="567">
        <v>4</v>
      </c>
      <c r="F130" s="567">
        <v>12</v>
      </c>
      <c r="G130" s="567">
        <v>425</v>
      </c>
      <c r="H130" s="567">
        <v>4170</v>
      </c>
      <c r="O130" s="568" t="s">
        <v>784</v>
      </c>
      <c r="P130" s="22">
        <f t="shared" si="3"/>
        <v>2</v>
      </c>
      <c r="Q130" s="22">
        <f t="shared" si="4"/>
        <v>365</v>
      </c>
      <c r="R130" s="22">
        <f t="shared" si="5"/>
        <v>366</v>
      </c>
    </row>
    <row r="131" spans="1:18" x14ac:dyDescent="0.2">
      <c r="A131" s="567">
        <v>2835</v>
      </c>
      <c r="B131" s="568" t="s">
        <v>3249</v>
      </c>
      <c r="C131" s="568" t="s">
        <v>3248</v>
      </c>
      <c r="D131" s="567">
        <v>8140</v>
      </c>
      <c r="E131" s="567">
        <v>5</v>
      </c>
      <c r="F131" s="567">
        <v>14</v>
      </c>
      <c r="G131" s="567">
        <v>425</v>
      </c>
      <c r="H131" s="567">
        <v>4170</v>
      </c>
      <c r="O131" s="568" t="s">
        <v>1507</v>
      </c>
      <c r="P131" s="22">
        <f t="shared" si="3"/>
        <v>5</v>
      </c>
      <c r="Q131" s="22">
        <f t="shared" si="4"/>
        <v>367</v>
      </c>
      <c r="R131" s="22">
        <f t="shared" si="5"/>
        <v>371</v>
      </c>
    </row>
    <row r="132" spans="1:18" x14ac:dyDescent="0.2">
      <c r="A132" s="567">
        <v>1519</v>
      </c>
      <c r="B132" s="568" t="s">
        <v>1672</v>
      </c>
      <c r="C132" s="568" t="s">
        <v>1672</v>
      </c>
      <c r="D132" s="567">
        <v>4175</v>
      </c>
      <c r="E132" s="567">
        <v>7</v>
      </c>
      <c r="F132" s="567">
        <v>17</v>
      </c>
      <c r="G132" s="567">
        <v>235</v>
      </c>
      <c r="H132" s="567">
        <v>2160</v>
      </c>
      <c r="O132" s="568" t="s">
        <v>1465</v>
      </c>
      <c r="P132" s="22">
        <f t="shared" si="3"/>
        <v>1</v>
      </c>
      <c r="Q132" s="22">
        <f t="shared" si="4"/>
        <v>372</v>
      </c>
      <c r="R132" s="22">
        <f t="shared" si="5"/>
        <v>372</v>
      </c>
    </row>
    <row r="133" spans="1:18" x14ac:dyDescent="0.2">
      <c r="A133" s="567">
        <v>1520</v>
      </c>
      <c r="B133" s="568" t="s">
        <v>1672</v>
      </c>
      <c r="C133" s="568" t="s">
        <v>1673</v>
      </c>
      <c r="D133" s="567">
        <v>4176</v>
      </c>
      <c r="E133" s="567">
        <v>7</v>
      </c>
      <c r="F133" s="567">
        <v>17</v>
      </c>
      <c r="G133" s="567">
        <v>235</v>
      </c>
      <c r="H133" s="567">
        <v>2160</v>
      </c>
      <c r="O133" s="568" t="s">
        <v>3089</v>
      </c>
      <c r="P133" s="22">
        <f t="shared" si="3"/>
        <v>4</v>
      </c>
      <c r="Q133" s="22">
        <f t="shared" si="4"/>
        <v>373</v>
      </c>
      <c r="R133" s="22">
        <f t="shared" si="5"/>
        <v>376</v>
      </c>
    </row>
    <row r="134" spans="1:18" x14ac:dyDescent="0.2">
      <c r="A134" s="567">
        <v>1521</v>
      </c>
      <c r="B134" s="568" t="s">
        <v>1672</v>
      </c>
      <c r="C134" s="568" t="s">
        <v>1674</v>
      </c>
      <c r="D134" s="567">
        <v>4177</v>
      </c>
      <c r="E134" s="567">
        <v>7</v>
      </c>
      <c r="F134" s="567">
        <v>17</v>
      </c>
      <c r="G134" s="567">
        <v>235</v>
      </c>
      <c r="H134" s="567">
        <v>2160</v>
      </c>
      <c r="O134" s="568" t="s">
        <v>2058</v>
      </c>
      <c r="P134" s="22">
        <f t="shared" si="3"/>
        <v>1</v>
      </c>
      <c r="Q134" s="22">
        <f t="shared" si="4"/>
        <v>377</v>
      </c>
      <c r="R134" s="22">
        <f t="shared" si="5"/>
        <v>377</v>
      </c>
    </row>
    <row r="135" spans="1:18" x14ac:dyDescent="0.2">
      <c r="A135" s="567">
        <v>587</v>
      </c>
      <c r="B135" s="568" t="s">
        <v>259</v>
      </c>
      <c r="C135" s="568" t="s">
        <v>258</v>
      </c>
      <c r="D135" s="567">
        <v>1271</v>
      </c>
      <c r="E135" s="567">
        <v>4</v>
      </c>
      <c r="F135" s="567">
        <v>19</v>
      </c>
      <c r="G135" s="567">
        <v>119</v>
      </c>
      <c r="H135" s="567">
        <v>1110</v>
      </c>
      <c r="O135" s="568" t="s">
        <v>423</v>
      </c>
      <c r="P135" s="22">
        <f t="shared" si="3"/>
        <v>1</v>
      </c>
      <c r="Q135" s="22">
        <f t="shared" si="4"/>
        <v>378</v>
      </c>
      <c r="R135" s="22">
        <f t="shared" si="5"/>
        <v>378</v>
      </c>
    </row>
    <row r="136" spans="1:18" x14ac:dyDescent="0.2">
      <c r="A136" s="567">
        <v>586</v>
      </c>
      <c r="B136" s="568" t="s">
        <v>259</v>
      </c>
      <c r="C136" s="568" t="s">
        <v>259</v>
      </c>
      <c r="D136" s="567">
        <v>1270</v>
      </c>
      <c r="E136" s="567">
        <v>4</v>
      </c>
      <c r="F136" s="567">
        <v>19</v>
      </c>
      <c r="G136" s="567">
        <v>119</v>
      </c>
      <c r="H136" s="567">
        <v>1110</v>
      </c>
      <c r="O136" s="568" t="s">
        <v>1597</v>
      </c>
      <c r="P136" s="22">
        <f t="shared" si="3"/>
        <v>2</v>
      </c>
      <c r="Q136" s="22">
        <f t="shared" si="4"/>
        <v>379</v>
      </c>
      <c r="R136" s="22">
        <f t="shared" si="5"/>
        <v>380</v>
      </c>
    </row>
    <row r="137" spans="1:18" x14ac:dyDescent="0.2">
      <c r="A137" s="567">
        <v>1207</v>
      </c>
      <c r="B137" s="568" t="s">
        <v>1410</v>
      </c>
      <c r="C137" s="568" t="s">
        <v>1410</v>
      </c>
      <c r="D137" s="567">
        <v>3230</v>
      </c>
      <c r="E137" s="567">
        <v>3</v>
      </c>
      <c r="F137" s="567">
        <v>3</v>
      </c>
      <c r="G137" s="567">
        <v>226</v>
      </c>
      <c r="H137" s="567">
        <v>2130</v>
      </c>
      <c r="O137" s="568" t="s">
        <v>1141</v>
      </c>
      <c r="P137" s="22">
        <f t="shared" si="3"/>
        <v>1</v>
      </c>
      <c r="Q137" s="22">
        <f t="shared" si="4"/>
        <v>381</v>
      </c>
      <c r="R137" s="22">
        <f t="shared" si="5"/>
        <v>381</v>
      </c>
    </row>
    <row r="138" spans="1:18" x14ac:dyDescent="0.2">
      <c r="A138" s="567">
        <v>3232</v>
      </c>
      <c r="B138" s="568" t="s">
        <v>2848</v>
      </c>
      <c r="C138" s="568" t="s">
        <v>2848</v>
      </c>
      <c r="D138" s="567">
        <v>9330</v>
      </c>
      <c r="E138" s="567">
        <v>5</v>
      </c>
      <c r="F138" s="567">
        <v>11</v>
      </c>
      <c r="G138" s="567">
        <v>436</v>
      </c>
      <c r="H138" s="567">
        <v>4120</v>
      </c>
      <c r="O138" s="568" t="s">
        <v>2652</v>
      </c>
      <c r="P138" s="22">
        <f t="shared" si="3"/>
        <v>4</v>
      </c>
      <c r="Q138" s="22">
        <f t="shared" si="4"/>
        <v>382</v>
      </c>
      <c r="R138" s="22">
        <f t="shared" si="5"/>
        <v>385</v>
      </c>
    </row>
    <row r="139" spans="1:18" x14ac:dyDescent="0.2">
      <c r="A139" s="567">
        <v>2582</v>
      </c>
      <c r="B139" s="568" t="s">
        <v>2976</v>
      </c>
      <c r="C139" s="568" t="s">
        <v>2975</v>
      </c>
      <c r="D139" s="567">
        <v>7435</v>
      </c>
      <c r="E139" s="567">
        <v>48</v>
      </c>
      <c r="F139" s="567">
        <v>2</v>
      </c>
      <c r="G139" s="567">
        <v>416</v>
      </c>
      <c r="H139" s="567">
        <v>4140</v>
      </c>
      <c r="O139" s="568" t="s">
        <v>821</v>
      </c>
      <c r="P139" s="22">
        <f t="shared" si="3"/>
        <v>2</v>
      </c>
      <c r="Q139" s="22">
        <f t="shared" si="4"/>
        <v>386</v>
      </c>
      <c r="R139" s="22">
        <f t="shared" si="5"/>
        <v>387</v>
      </c>
    </row>
    <row r="140" spans="1:18" x14ac:dyDescent="0.2">
      <c r="A140" s="567">
        <v>2577</v>
      </c>
      <c r="B140" s="568" t="s">
        <v>2976</v>
      </c>
      <c r="C140" s="568" t="s">
        <v>2980</v>
      </c>
      <c r="D140" s="567">
        <v>7430</v>
      </c>
      <c r="E140" s="567">
        <v>48</v>
      </c>
      <c r="F140" s="567">
        <v>2</v>
      </c>
      <c r="G140" s="567">
        <v>416</v>
      </c>
      <c r="H140" s="567">
        <v>4140</v>
      </c>
      <c r="O140" s="568" t="s">
        <v>2626</v>
      </c>
      <c r="P140" s="22">
        <f t="shared" si="3"/>
        <v>1</v>
      </c>
      <c r="Q140" s="22">
        <f t="shared" si="4"/>
        <v>388</v>
      </c>
      <c r="R140" s="22">
        <f t="shared" si="5"/>
        <v>388</v>
      </c>
    </row>
    <row r="141" spans="1:18" x14ac:dyDescent="0.2">
      <c r="A141" s="567">
        <v>2578</v>
      </c>
      <c r="B141" s="568" t="s">
        <v>2976</v>
      </c>
      <c r="C141" s="568" t="s">
        <v>2981</v>
      </c>
      <c r="D141" s="567">
        <v>7431</v>
      </c>
      <c r="E141" s="567">
        <v>48</v>
      </c>
      <c r="F141" s="567">
        <v>2</v>
      </c>
      <c r="G141" s="567">
        <v>416</v>
      </c>
      <c r="H141" s="567">
        <v>4140</v>
      </c>
      <c r="O141" s="568" t="s">
        <v>3289</v>
      </c>
      <c r="P141" s="22">
        <f t="shared" si="3"/>
        <v>7</v>
      </c>
      <c r="Q141" s="22">
        <f t="shared" si="4"/>
        <v>389</v>
      </c>
      <c r="R141" s="22">
        <f t="shared" si="5"/>
        <v>395</v>
      </c>
    </row>
    <row r="142" spans="1:18" x14ac:dyDescent="0.2">
      <c r="A142" s="567">
        <v>2579</v>
      </c>
      <c r="B142" s="568" t="s">
        <v>2976</v>
      </c>
      <c r="C142" s="568" t="s">
        <v>2982</v>
      </c>
      <c r="D142" s="567">
        <v>7432</v>
      </c>
      <c r="E142" s="567">
        <v>48</v>
      </c>
      <c r="F142" s="567">
        <v>2</v>
      </c>
      <c r="G142" s="567">
        <v>416</v>
      </c>
      <c r="H142" s="567">
        <v>4140</v>
      </c>
      <c r="O142" s="568" t="s">
        <v>1044</v>
      </c>
      <c r="P142" s="22">
        <f t="shared" si="3"/>
        <v>6</v>
      </c>
      <c r="Q142" s="22">
        <f t="shared" si="4"/>
        <v>396</v>
      </c>
      <c r="R142" s="22">
        <f t="shared" si="5"/>
        <v>401</v>
      </c>
    </row>
    <row r="143" spans="1:18" x14ac:dyDescent="0.2">
      <c r="A143" s="567">
        <v>2580</v>
      </c>
      <c r="B143" s="568" t="s">
        <v>2976</v>
      </c>
      <c r="C143" s="568" t="s">
        <v>2983</v>
      </c>
      <c r="D143" s="567">
        <v>7433</v>
      </c>
      <c r="E143" s="567">
        <v>48</v>
      </c>
      <c r="F143" s="567">
        <v>2</v>
      </c>
      <c r="G143" s="567">
        <v>416</v>
      </c>
      <c r="H143" s="567">
        <v>4140</v>
      </c>
      <c r="O143" s="568" t="s">
        <v>3232</v>
      </c>
      <c r="P143" s="22">
        <f t="shared" ref="P143:P206" si="6">COUNTIF($B$13:$B$3400,O143)</f>
        <v>7</v>
      </c>
      <c r="Q143" s="22">
        <f t="shared" si="4"/>
        <v>402</v>
      </c>
      <c r="R143" s="22">
        <f t="shared" si="5"/>
        <v>408</v>
      </c>
    </row>
    <row r="144" spans="1:18" x14ac:dyDescent="0.2">
      <c r="A144" s="567">
        <v>2581</v>
      </c>
      <c r="B144" s="568" t="s">
        <v>2976</v>
      </c>
      <c r="C144" s="568" t="s">
        <v>2991</v>
      </c>
      <c r="D144" s="567">
        <v>7434</v>
      </c>
      <c r="E144" s="567">
        <v>48</v>
      </c>
      <c r="F144" s="567">
        <v>2</v>
      </c>
      <c r="G144" s="567">
        <v>416</v>
      </c>
      <c r="H144" s="567">
        <v>4140</v>
      </c>
      <c r="O144" s="568" t="s">
        <v>1722</v>
      </c>
      <c r="P144" s="22">
        <f t="shared" si="6"/>
        <v>9</v>
      </c>
      <c r="Q144" s="22">
        <f t="shared" si="4"/>
        <v>409</v>
      </c>
      <c r="R144" s="22">
        <f t="shared" si="5"/>
        <v>417</v>
      </c>
    </row>
    <row r="145" spans="1:18" x14ac:dyDescent="0.2">
      <c r="A145" s="567">
        <v>2823</v>
      </c>
      <c r="B145" s="568" t="s">
        <v>3238</v>
      </c>
      <c r="C145" s="568" t="s">
        <v>3238</v>
      </c>
      <c r="D145" s="567">
        <v>8120</v>
      </c>
      <c r="E145" s="567">
        <v>8</v>
      </c>
      <c r="F145" s="567">
        <v>14</v>
      </c>
      <c r="G145" s="567">
        <v>425</v>
      </c>
      <c r="H145" s="567">
        <v>4170</v>
      </c>
      <c r="O145" s="568" t="s">
        <v>114</v>
      </c>
      <c r="P145" s="22">
        <f t="shared" si="6"/>
        <v>1</v>
      </c>
      <c r="Q145" s="22">
        <f t="shared" ref="Q145:Q208" si="7">R144+1</f>
        <v>418</v>
      </c>
      <c r="R145" s="22">
        <f t="shared" ref="R145:R208" si="8">R144+P145</f>
        <v>418</v>
      </c>
    </row>
    <row r="146" spans="1:18" x14ac:dyDescent="0.2">
      <c r="A146" s="567">
        <v>2824</v>
      </c>
      <c r="B146" s="568" t="s">
        <v>3238</v>
      </c>
      <c r="C146" s="568" t="s">
        <v>3239</v>
      </c>
      <c r="D146" s="567">
        <v>8121</v>
      </c>
      <c r="E146" s="567">
        <v>8</v>
      </c>
      <c r="F146" s="567">
        <v>14</v>
      </c>
      <c r="G146" s="567">
        <v>425</v>
      </c>
      <c r="H146" s="567">
        <v>4170</v>
      </c>
      <c r="O146" s="568" t="s">
        <v>652</v>
      </c>
      <c r="P146" s="22">
        <f t="shared" si="6"/>
        <v>2</v>
      </c>
      <c r="Q146" s="22">
        <f t="shared" si="7"/>
        <v>419</v>
      </c>
      <c r="R146" s="22">
        <f t="shared" si="8"/>
        <v>420</v>
      </c>
    </row>
    <row r="147" spans="1:18" x14ac:dyDescent="0.2">
      <c r="A147" s="567">
        <v>2825</v>
      </c>
      <c r="B147" s="568" t="s">
        <v>3238</v>
      </c>
      <c r="C147" s="568" t="s">
        <v>3240</v>
      </c>
      <c r="D147" s="567">
        <v>8122</v>
      </c>
      <c r="E147" s="567">
        <v>8</v>
      </c>
      <c r="F147" s="567">
        <v>14</v>
      </c>
      <c r="G147" s="567">
        <v>425</v>
      </c>
      <c r="H147" s="567">
        <v>4170</v>
      </c>
      <c r="O147" s="568" t="s">
        <v>2994</v>
      </c>
      <c r="P147" s="22">
        <f t="shared" si="6"/>
        <v>1</v>
      </c>
      <c r="Q147" s="22">
        <f t="shared" si="7"/>
        <v>421</v>
      </c>
      <c r="R147" s="22">
        <f t="shared" si="8"/>
        <v>421</v>
      </c>
    </row>
    <row r="148" spans="1:18" x14ac:dyDescent="0.2">
      <c r="A148" s="567">
        <v>2826</v>
      </c>
      <c r="B148" s="568" t="s">
        <v>3238</v>
      </c>
      <c r="C148" s="568" t="s">
        <v>3241</v>
      </c>
      <c r="D148" s="567">
        <v>8123</v>
      </c>
      <c r="E148" s="567">
        <v>8</v>
      </c>
      <c r="F148" s="567">
        <v>14</v>
      </c>
      <c r="G148" s="567">
        <v>425</v>
      </c>
      <c r="H148" s="567">
        <v>4170</v>
      </c>
      <c r="O148" s="568" t="s">
        <v>2273</v>
      </c>
      <c r="P148" s="22">
        <f t="shared" si="6"/>
        <v>2</v>
      </c>
      <c r="Q148" s="22">
        <f t="shared" si="7"/>
        <v>422</v>
      </c>
      <c r="R148" s="22">
        <f t="shared" si="8"/>
        <v>423</v>
      </c>
    </row>
    <row r="149" spans="1:18" x14ac:dyDescent="0.2">
      <c r="A149" s="567">
        <v>2827</v>
      </c>
      <c r="B149" s="568" t="s">
        <v>3238</v>
      </c>
      <c r="C149" s="568" t="s">
        <v>3242</v>
      </c>
      <c r="D149" s="567">
        <v>8124</v>
      </c>
      <c r="E149" s="567">
        <v>8</v>
      </c>
      <c r="F149" s="567">
        <v>14</v>
      </c>
      <c r="G149" s="567">
        <v>425</v>
      </c>
      <c r="H149" s="567">
        <v>4170</v>
      </c>
      <c r="O149" s="568" t="s">
        <v>2829</v>
      </c>
      <c r="P149" s="22">
        <f t="shared" si="6"/>
        <v>1</v>
      </c>
      <c r="Q149" s="22">
        <f t="shared" si="7"/>
        <v>424</v>
      </c>
      <c r="R149" s="22">
        <f t="shared" si="8"/>
        <v>424</v>
      </c>
    </row>
    <row r="150" spans="1:18" x14ac:dyDescent="0.2">
      <c r="A150" s="567">
        <v>2828</v>
      </c>
      <c r="B150" s="568" t="s">
        <v>3238</v>
      </c>
      <c r="C150" s="568" t="s">
        <v>3243</v>
      </c>
      <c r="D150" s="567">
        <v>8125</v>
      </c>
      <c r="E150" s="567">
        <v>8</v>
      </c>
      <c r="F150" s="567">
        <v>14</v>
      </c>
      <c r="G150" s="567">
        <v>425</v>
      </c>
      <c r="H150" s="567">
        <v>4170</v>
      </c>
      <c r="O150" s="568" t="s">
        <v>471</v>
      </c>
      <c r="P150" s="22">
        <f t="shared" si="6"/>
        <v>4</v>
      </c>
      <c r="Q150" s="22">
        <f t="shared" si="7"/>
        <v>425</v>
      </c>
      <c r="R150" s="22">
        <f t="shared" si="8"/>
        <v>428</v>
      </c>
    </row>
    <row r="151" spans="1:18" x14ac:dyDescent="0.2">
      <c r="A151" s="567">
        <v>3301</v>
      </c>
      <c r="B151" s="568" t="s">
        <v>2828</v>
      </c>
      <c r="C151" s="568" t="s">
        <v>2828</v>
      </c>
      <c r="D151" s="567">
        <v>9630</v>
      </c>
      <c r="E151" s="567">
        <v>6</v>
      </c>
      <c r="F151" s="567">
        <v>10</v>
      </c>
      <c r="G151" s="567">
        <v>436</v>
      </c>
      <c r="H151" s="567">
        <v>4120</v>
      </c>
      <c r="O151" s="568" t="s">
        <v>424</v>
      </c>
      <c r="P151" s="22">
        <f t="shared" si="6"/>
        <v>1</v>
      </c>
      <c r="Q151" s="22">
        <f t="shared" si="7"/>
        <v>429</v>
      </c>
      <c r="R151" s="22">
        <f t="shared" si="8"/>
        <v>429</v>
      </c>
    </row>
    <row r="152" spans="1:18" x14ac:dyDescent="0.2">
      <c r="A152" s="567">
        <v>1233</v>
      </c>
      <c r="B152" s="568" t="s">
        <v>1426</v>
      </c>
      <c r="C152" s="568" t="s">
        <v>1425</v>
      </c>
      <c r="D152" s="567">
        <v>3300</v>
      </c>
      <c r="E152" s="567">
        <v>102</v>
      </c>
      <c r="F152" s="567">
        <v>2</v>
      </c>
      <c r="G152" s="567">
        <v>226</v>
      </c>
      <c r="H152" s="567">
        <v>2130</v>
      </c>
      <c r="O152" s="568" t="s">
        <v>2075</v>
      </c>
      <c r="P152" s="22">
        <f t="shared" si="6"/>
        <v>1</v>
      </c>
      <c r="Q152" s="22">
        <f t="shared" si="7"/>
        <v>430</v>
      </c>
      <c r="R152" s="22">
        <f t="shared" si="8"/>
        <v>430</v>
      </c>
    </row>
    <row r="153" spans="1:18" x14ac:dyDescent="0.2">
      <c r="A153" s="567">
        <v>1234</v>
      </c>
      <c r="B153" s="568" t="s">
        <v>1426</v>
      </c>
      <c r="C153" s="568" t="s">
        <v>1069</v>
      </c>
      <c r="D153" s="567">
        <v>3301</v>
      </c>
      <c r="E153" s="567">
        <v>102</v>
      </c>
      <c r="F153" s="567">
        <v>2</v>
      </c>
      <c r="G153" s="567">
        <v>226</v>
      </c>
      <c r="H153" s="567">
        <v>2130</v>
      </c>
      <c r="O153" s="568" t="s">
        <v>1907</v>
      </c>
      <c r="P153" s="22">
        <f t="shared" si="6"/>
        <v>2</v>
      </c>
      <c r="Q153" s="22">
        <f t="shared" si="7"/>
        <v>431</v>
      </c>
      <c r="R153" s="22">
        <f t="shared" si="8"/>
        <v>432</v>
      </c>
    </row>
    <row r="154" spans="1:18" x14ac:dyDescent="0.2">
      <c r="A154" s="567">
        <v>1697</v>
      </c>
      <c r="B154" s="568" t="s">
        <v>2242</v>
      </c>
      <c r="C154" s="568" t="s">
        <v>2242</v>
      </c>
      <c r="D154" s="567">
        <v>4660</v>
      </c>
      <c r="E154" s="567">
        <v>5</v>
      </c>
      <c r="F154" s="567">
        <v>3</v>
      </c>
      <c r="G154" s="567">
        <v>317</v>
      </c>
      <c r="H154" s="567">
        <v>3140</v>
      </c>
      <c r="O154" s="568" t="s">
        <v>2852</v>
      </c>
      <c r="P154" s="22">
        <f t="shared" si="6"/>
        <v>1</v>
      </c>
      <c r="Q154" s="22">
        <f t="shared" si="7"/>
        <v>433</v>
      </c>
      <c r="R154" s="22">
        <f t="shared" si="8"/>
        <v>433</v>
      </c>
    </row>
    <row r="155" spans="1:18" x14ac:dyDescent="0.2">
      <c r="A155" s="567">
        <v>1698</v>
      </c>
      <c r="B155" s="568" t="s">
        <v>2242</v>
      </c>
      <c r="C155" s="568" t="s">
        <v>2249</v>
      </c>
      <c r="D155" s="567">
        <v>4661</v>
      </c>
      <c r="E155" s="567">
        <v>5</v>
      </c>
      <c r="F155" s="567">
        <v>3</v>
      </c>
      <c r="G155" s="567">
        <v>317</v>
      </c>
      <c r="H155" s="567">
        <v>3140</v>
      </c>
      <c r="O155" s="568" t="s">
        <v>677</v>
      </c>
      <c r="P155" s="22">
        <f t="shared" si="6"/>
        <v>1</v>
      </c>
      <c r="Q155" s="22">
        <f t="shared" si="7"/>
        <v>434</v>
      </c>
      <c r="R155" s="22">
        <f t="shared" si="8"/>
        <v>434</v>
      </c>
    </row>
    <row r="156" spans="1:18" x14ac:dyDescent="0.2">
      <c r="A156" s="567">
        <v>1699</v>
      </c>
      <c r="B156" s="568" t="s">
        <v>2242</v>
      </c>
      <c r="C156" s="568" t="s">
        <v>2256</v>
      </c>
      <c r="D156" s="567">
        <v>4662</v>
      </c>
      <c r="E156" s="567">
        <v>5</v>
      </c>
      <c r="F156" s="567">
        <v>3</v>
      </c>
      <c r="G156" s="567">
        <v>317</v>
      </c>
      <c r="H156" s="567">
        <v>3140</v>
      </c>
      <c r="O156" s="568" t="s">
        <v>2552</v>
      </c>
      <c r="P156" s="22">
        <f t="shared" si="6"/>
        <v>9</v>
      </c>
      <c r="Q156" s="22">
        <f t="shared" si="7"/>
        <v>435</v>
      </c>
      <c r="R156" s="22">
        <f t="shared" si="8"/>
        <v>443</v>
      </c>
    </row>
    <row r="157" spans="1:18" x14ac:dyDescent="0.2">
      <c r="A157" s="567">
        <v>3311</v>
      </c>
      <c r="B157" s="568" t="s">
        <v>2805</v>
      </c>
      <c r="C157" s="568" t="s">
        <v>2804</v>
      </c>
      <c r="D157" s="567">
        <v>9661</v>
      </c>
      <c r="E157" s="567">
        <v>94</v>
      </c>
      <c r="F157" s="567">
        <v>10</v>
      </c>
      <c r="G157" s="567">
        <v>436</v>
      </c>
      <c r="H157" s="567">
        <v>4120</v>
      </c>
      <c r="O157" s="568" t="s">
        <v>767</v>
      </c>
      <c r="P157" s="22">
        <f t="shared" si="6"/>
        <v>3</v>
      </c>
      <c r="Q157" s="22">
        <f t="shared" si="7"/>
        <v>444</v>
      </c>
      <c r="R157" s="22">
        <f t="shared" si="8"/>
        <v>446</v>
      </c>
    </row>
    <row r="158" spans="1:18" x14ac:dyDescent="0.2">
      <c r="A158" s="567">
        <v>3315</v>
      </c>
      <c r="B158" s="568" t="s">
        <v>2805</v>
      </c>
      <c r="C158" s="568" t="s">
        <v>2817</v>
      </c>
      <c r="D158" s="567">
        <v>9665</v>
      </c>
      <c r="E158" s="567">
        <v>94</v>
      </c>
      <c r="F158" s="567">
        <v>10</v>
      </c>
      <c r="G158" s="567">
        <v>436</v>
      </c>
      <c r="H158" s="567">
        <v>4120</v>
      </c>
      <c r="O158" s="568" t="s">
        <v>131</v>
      </c>
      <c r="P158" s="22">
        <f t="shared" si="6"/>
        <v>8</v>
      </c>
      <c r="Q158" s="22">
        <f t="shared" si="7"/>
        <v>447</v>
      </c>
      <c r="R158" s="22">
        <f t="shared" si="8"/>
        <v>454</v>
      </c>
    </row>
    <row r="159" spans="1:18" x14ac:dyDescent="0.2">
      <c r="A159" s="567">
        <v>3314</v>
      </c>
      <c r="B159" s="568" t="s">
        <v>2805</v>
      </c>
      <c r="C159" s="568" t="s">
        <v>2818</v>
      </c>
      <c r="D159" s="567">
        <v>9664</v>
      </c>
      <c r="E159" s="567">
        <v>94</v>
      </c>
      <c r="F159" s="567">
        <v>10</v>
      </c>
      <c r="G159" s="567">
        <v>436</v>
      </c>
      <c r="H159" s="567">
        <v>4120</v>
      </c>
      <c r="O159" s="568" t="s">
        <v>3253</v>
      </c>
      <c r="P159" s="22">
        <f t="shared" si="6"/>
        <v>1</v>
      </c>
      <c r="Q159" s="22">
        <f t="shared" si="7"/>
        <v>455</v>
      </c>
      <c r="R159" s="22">
        <f t="shared" si="8"/>
        <v>455</v>
      </c>
    </row>
    <row r="160" spans="1:18" x14ac:dyDescent="0.2">
      <c r="A160" s="567">
        <v>3313</v>
      </c>
      <c r="B160" s="568" t="s">
        <v>2805</v>
      </c>
      <c r="C160" s="568" t="s">
        <v>2819</v>
      </c>
      <c r="D160" s="567">
        <v>9663</v>
      </c>
      <c r="E160" s="567">
        <v>94</v>
      </c>
      <c r="F160" s="567">
        <v>10</v>
      </c>
      <c r="G160" s="567">
        <v>436</v>
      </c>
      <c r="H160" s="567">
        <v>4120</v>
      </c>
      <c r="O160" s="568" t="s">
        <v>421</v>
      </c>
      <c r="P160" s="22">
        <f t="shared" si="6"/>
        <v>1</v>
      </c>
      <c r="Q160" s="22">
        <f t="shared" si="7"/>
        <v>456</v>
      </c>
      <c r="R160" s="22">
        <f t="shared" si="8"/>
        <v>456</v>
      </c>
    </row>
    <row r="161" spans="1:18" x14ac:dyDescent="0.2">
      <c r="A161" s="567">
        <v>3310</v>
      </c>
      <c r="B161" s="568" t="s">
        <v>2805</v>
      </c>
      <c r="C161" s="568" t="s">
        <v>2821</v>
      </c>
      <c r="D161" s="567">
        <v>9660</v>
      </c>
      <c r="E161" s="567">
        <v>94</v>
      </c>
      <c r="F161" s="567">
        <v>10</v>
      </c>
      <c r="G161" s="567">
        <v>436</v>
      </c>
      <c r="H161" s="567">
        <v>4120</v>
      </c>
      <c r="O161" s="568" t="s">
        <v>1242</v>
      </c>
      <c r="P161" s="22">
        <f t="shared" si="6"/>
        <v>2</v>
      </c>
      <c r="Q161" s="22">
        <f t="shared" si="7"/>
        <v>457</v>
      </c>
      <c r="R161" s="22">
        <f t="shared" si="8"/>
        <v>458</v>
      </c>
    </row>
    <row r="162" spans="1:18" x14ac:dyDescent="0.2">
      <c r="A162" s="567">
        <v>3312</v>
      </c>
      <c r="B162" s="568" t="s">
        <v>2805</v>
      </c>
      <c r="C162" s="568" t="s">
        <v>2832</v>
      </c>
      <c r="D162" s="567">
        <v>9662</v>
      </c>
      <c r="E162" s="567">
        <v>94</v>
      </c>
      <c r="F162" s="567">
        <v>10</v>
      </c>
      <c r="G162" s="567">
        <v>436</v>
      </c>
      <c r="H162" s="567">
        <v>4120</v>
      </c>
      <c r="O162" s="568" t="s">
        <v>2447</v>
      </c>
      <c r="P162" s="22">
        <f t="shared" si="6"/>
        <v>1</v>
      </c>
      <c r="Q162" s="22">
        <f t="shared" si="7"/>
        <v>459</v>
      </c>
      <c r="R162" s="22">
        <f t="shared" si="8"/>
        <v>459</v>
      </c>
    </row>
    <row r="163" spans="1:18" x14ac:dyDescent="0.2">
      <c r="A163" s="567">
        <v>567</v>
      </c>
      <c r="B163" s="568" t="s">
        <v>213</v>
      </c>
      <c r="C163" s="568" t="s">
        <v>212</v>
      </c>
      <c r="D163" s="567">
        <v>1216</v>
      </c>
      <c r="E163" s="567">
        <v>87</v>
      </c>
      <c r="F163" s="567">
        <v>2</v>
      </c>
      <c r="G163" s="567">
        <v>119</v>
      </c>
      <c r="H163" s="567">
        <v>1110</v>
      </c>
      <c r="O163" s="568" t="s">
        <v>1923</v>
      </c>
      <c r="P163" s="22">
        <f t="shared" si="6"/>
        <v>1</v>
      </c>
      <c r="Q163" s="22">
        <f t="shared" si="7"/>
        <v>460</v>
      </c>
      <c r="R163" s="22">
        <f t="shared" si="8"/>
        <v>460</v>
      </c>
    </row>
    <row r="164" spans="1:18" x14ac:dyDescent="0.2">
      <c r="A164" s="567">
        <v>568</v>
      </c>
      <c r="B164" s="568" t="s">
        <v>213</v>
      </c>
      <c r="C164" s="568" t="s">
        <v>226</v>
      </c>
      <c r="D164" s="567">
        <v>1217</v>
      </c>
      <c r="E164" s="567">
        <v>87</v>
      </c>
      <c r="F164" s="567">
        <v>2</v>
      </c>
      <c r="G164" s="567">
        <v>119</v>
      </c>
      <c r="H164" s="567">
        <v>1110</v>
      </c>
      <c r="O164" s="568" t="s">
        <v>321</v>
      </c>
      <c r="P164" s="22">
        <f t="shared" si="6"/>
        <v>13</v>
      </c>
      <c r="Q164" s="22">
        <f t="shared" si="7"/>
        <v>461</v>
      </c>
      <c r="R164" s="22">
        <f t="shared" si="8"/>
        <v>473</v>
      </c>
    </row>
    <row r="165" spans="1:18" x14ac:dyDescent="0.2">
      <c r="A165" s="567">
        <v>566</v>
      </c>
      <c r="B165" s="568" t="s">
        <v>213</v>
      </c>
      <c r="C165" s="568" t="s">
        <v>229</v>
      </c>
      <c r="D165" s="567">
        <v>1215</v>
      </c>
      <c r="E165" s="567">
        <v>87</v>
      </c>
      <c r="F165" s="567">
        <v>2</v>
      </c>
      <c r="G165" s="567">
        <v>119</v>
      </c>
      <c r="H165" s="567">
        <v>1110</v>
      </c>
      <c r="O165" s="568" t="s">
        <v>515</v>
      </c>
      <c r="P165" s="22">
        <f t="shared" si="6"/>
        <v>8</v>
      </c>
      <c r="Q165" s="22">
        <f t="shared" si="7"/>
        <v>474</v>
      </c>
      <c r="R165" s="22">
        <f t="shared" si="8"/>
        <v>481</v>
      </c>
    </row>
    <row r="166" spans="1:18" x14ac:dyDescent="0.2">
      <c r="A166" s="567">
        <v>569</v>
      </c>
      <c r="B166" s="568" t="s">
        <v>213</v>
      </c>
      <c r="C166" s="568" t="s">
        <v>240</v>
      </c>
      <c r="D166" s="567">
        <v>1218</v>
      </c>
      <c r="E166" s="567">
        <v>87</v>
      </c>
      <c r="F166" s="567">
        <v>2</v>
      </c>
      <c r="G166" s="567">
        <v>119</v>
      </c>
      <c r="H166" s="567">
        <v>1110</v>
      </c>
      <c r="O166" s="568" t="s">
        <v>1770</v>
      </c>
      <c r="P166" s="22">
        <f t="shared" si="6"/>
        <v>5</v>
      </c>
      <c r="Q166" s="22">
        <f t="shared" si="7"/>
        <v>482</v>
      </c>
      <c r="R166" s="22">
        <f t="shared" si="8"/>
        <v>486</v>
      </c>
    </row>
    <row r="167" spans="1:18" x14ac:dyDescent="0.2">
      <c r="A167" s="567">
        <v>535</v>
      </c>
      <c r="B167" s="568" t="s">
        <v>734</v>
      </c>
      <c r="C167" s="568" t="s">
        <v>734</v>
      </c>
      <c r="D167" s="567">
        <v>1100</v>
      </c>
      <c r="E167" s="567">
        <v>3</v>
      </c>
      <c r="F167" s="567">
        <v>1</v>
      </c>
      <c r="G167" s="567">
        <v>118</v>
      </c>
      <c r="H167" s="567">
        <v>1170</v>
      </c>
      <c r="O167" s="568" t="s">
        <v>1019</v>
      </c>
      <c r="P167" s="22">
        <f t="shared" si="6"/>
        <v>7</v>
      </c>
      <c r="Q167" s="22">
        <f t="shared" si="7"/>
        <v>487</v>
      </c>
      <c r="R167" s="22">
        <f t="shared" si="8"/>
        <v>493</v>
      </c>
    </row>
    <row r="168" spans="1:18" x14ac:dyDescent="0.2">
      <c r="A168" s="567">
        <v>108</v>
      </c>
      <c r="B168" s="568" t="s">
        <v>392</v>
      </c>
      <c r="C168" s="568" t="s">
        <v>392</v>
      </c>
      <c r="D168" s="567">
        <v>170</v>
      </c>
      <c r="E168" s="567">
        <v>6</v>
      </c>
      <c r="F168" s="567">
        <v>21</v>
      </c>
      <c r="G168" s="567">
        <v>128</v>
      </c>
      <c r="H168" s="567">
        <v>1121</v>
      </c>
      <c r="O168" s="568" t="s">
        <v>1933</v>
      </c>
      <c r="P168" s="22">
        <f t="shared" si="6"/>
        <v>4</v>
      </c>
      <c r="Q168" s="22">
        <f t="shared" si="7"/>
        <v>494</v>
      </c>
      <c r="R168" s="22">
        <f t="shared" si="8"/>
        <v>497</v>
      </c>
    </row>
    <row r="169" spans="1:18" x14ac:dyDescent="0.2">
      <c r="A169" s="567">
        <v>2847</v>
      </c>
      <c r="B169" s="568" t="s">
        <v>3222</v>
      </c>
      <c r="C169" s="568" t="s">
        <v>3222</v>
      </c>
      <c r="D169" s="567">
        <v>8200</v>
      </c>
      <c r="E169" s="567">
        <v>11</v>
      </c>
      <c r="F169" s="567">
        <v>13</v>
      </c>
      <c r="G169" s="567">
        <v>425</v>
      </c>
      <c r="H169" s="567">
        <v>4170</v>
      </c>
      <c r="O169" s="568" t="s">
        <v>3256</v>
      </c>
      <c r="P169" s="22">
        <f t="shared" si="6"/>
        <v>1</v>
      </c>
      <c r="Q169" s="22">
        <f t="shared" si="7"/>
        <v>498</v>
      </c>
      <c r="R169" s="22">
        <f t="shared" si="8"/>
        <v>498</v>
      </c>
    </row>
    <row r="170" spans="1:18" x14ac:dyDescent="0.2">
      <c r="A170" s="567">
        <v>3045</v>
      </c>
      <c r="B170" s="568" t="s">
        <v>2762</v>
      </c>
      <c r="C170" s="568" t="s">
        <v>2762</v>
      </c>
      <c r="D170" s="567">
        <v>8780</v>
      </c>
      <c r="E170" s="567">
        <v>11</v>
      </c>
      <c r="F170" s="567">
        <v>11</v>
      </c>
      <c r="G170" s="567">
        <v>426</v>
      </c>
      <c r="H170" s="567">
        <v>4110</v>
      </c>
      <c r="O170" s="568" t="s">
        <v>1909</v>
      </c>
      <c r="P170" s="22">
        <f t="shared" si="6"/>
        <v>1</v>
      </c>
      <c r="Q170" s="22">
        <f t="shared" si="7"/>
        <v>499</v>
      </c>
      <c r="R170" s="22">
        <f t="shared" si="8"/>
        <v>499</v>
      </c>
    </row>
    <row r="171" spans="1:18" x14ac:dyDescent="0.2">
      <c r="A171" s="567">
        <v>3046</v>
      </c>
      <c r="B171" s="568" t="s">
        <v>2762</v>
      </c>
      <c r="C171" s="568" t="s">
        <v>2769</v>
      </c>
      <c r="D171" s="567">
        <v>8781</v>
      </c>
      <c r="E171" s="567">
        <v>11</v>
      </c>
      <c r="F171" s="567">
        <v>11</v>
      </c>
      <c r="G171" s="567">
        <v>426</v>
      </c>
      <c r="H171" s="567">
        <v>4110</v>
      </c>
      <c r="O171" s="568" t="s">
        <v>1332</v>
      </c>
      <c r="P171" s="22">
        <f t="shared" si="6"/>
        <v>10</v>
      </c>
      <c r="Q171" s="22">
        <f t="shared" si="7"/>
        <v>500</v>
      </c>
      <c r="R171" s="22">
        <f t="shared" si="8"/>
        <v>509</v>
      </c>
    </row>
    <row r="172" spans="1:18" x14ac:dyDescent="0.2">
      <c r="A172" s="567">
        <v>3047</v>
      </c>
      <c r="B172" s="568" t="s">
        <v>2762</v>
      </c>
      <c r="C172" s="568" t="s">
        <v>2770</v>
      </c>
      <c r="D172" s="567">
        <v>8782</v>
      </c>
      <c r="E172" s="567">
        <v>11</v>
      </c>
      <c r="F172" s="567">
        <v>11</v>
      </c>
      <c r="G172" s="567">
        <v>426</v>
      </c>
      <c r="H172" s="567">
        <v>4110</v>
      </c>
      <c r="O172" s="568" t="s">
        <v>948</v>
      </c>
      <c r="P172" s="22">
        <f t="shared" si="6"/>
        <v>11</v>
      </c>
      <c r="Q172" s="22">
        <f t="shared" si="7"/>
        <v>510</v>
      </c>
      <c r="R172" s="22">
        <f t="shared" si="8"/>
        <v>520</v>
      </c>
    </row>
    <row r="173" spans="1:18" x14ac:dyDescent="0.2">
      <c r="A173" s="567">
        <v>1914</v>
      </c>
      <c r="B173" s="568" t="s">
        <v>1096</v>
      </c>
      <c r="C173" s="568" t="s">
        <v>1096</v>
      </c>
      <c r="D173" s="567">
        <v>5400</v>
      </c>
      <c r="E173" s="567">
        <v>3</v>
      </c>
      <c r="F173" s="567">
        <v>3</v>
      </c>
      <c r="G173" s="567">
        <v>315</v>
      </c>
      <c r="H173" s="567">
        <v>3120</v>
      </c>
      <c r="O173" s="568" t="s">
        <v>1788</v>
      </c>
      <c r="P173" s="22">
        <f t="shared" si="6"/>
        <v>3</v>
      </c>
      <c r="Q173" s="22">
        <f t="shared" si="7"/>
        <v>521</v>
      </c>
      <c r="R173" s="22">
        <f t="shared" si="8"/>
        <v>523</v>
      </c>
    </row>
    <row r="174" spans="1:18" x14ac:dyDescent="0.2">
      <c r="A174" s="567">
        <v>1338</v>
      </c>
      <c r="B174" s="568" t="s">
        <v>1097</v>
      </c>
      <c r="C174" s="568" t="s">
        <v>1096</v>
      </c>
      <c r="D174" s="567">
        <v>3640</v>
      </c>
      <c r="E174" s="567">
        <v>2</v>
      </c>
      <c r="F174" s="567">
        <v>3</v>
      </c>
      <c r="G174" s="567">
        <v>216</v>
      </c>
      <c r="H174" s="567">
        <v>2100</v>
      </c>
      <c r="O174" s="568" t="s">
        <v>1248</v>
      </c>
      <c r="P174" s="22">
        <f t="shared" si="6"/>
        <v>6</v>
      </c>
      <c r="Q174" s="22">
        <f t="shared" si="7"/>
        <v>524</v>
      </c>
      <c r="R174" s="22">
        <f t="shared" si="8"/>
        <v>529</v>
      </c>
    </row>
    <row r="175" spans="1:18" x14ac:dyDescent="0.2">
      <c r="A175" s="567">
        <v>578</v>
      </c>
      <c r="B175" s="568" t="s">
        <v>215</v>
      </c>
      <c r="C175" s="568" t="s">
        <v>214</v>
      </c>
      <c r="D175" s="567">
        <v>1242</v>
      </c>
      <c r="E175" s="567">
        <v>6</v>
      </c>
      <c r="F175" s="567">
        <v>19</v>
      </c>
      <c r="G175" s="567">
        <v>119</v>
      </c>
      <c r="H175" s="567">
        <v>1110</v>
      </c>
      <c r="O175" s="568" t="s">
        <v>1389</v>
      </c>
      <c r="P175" s="22">
        <f t="shared" si="6"/>
        <v>1</v>
      </c>
      <c r="Q175" s="22">
        <f t="shared" si="7"/>
        <v>530</v>
      </c>
      <c r="R175" s="22">
        <f t="shared" si="8"/>
        <v>530</v>
      </c>
    </row>
    <row r="176" spans="1:18" x14ac:dyDescent="0.2">
      <c r="A176" s="567">
        <v>577</v>
      </c>
      <c r="B176" s="568" t="s">
        <v>215</v>
      </c>
      <c r="C176" s="568" t="s">
        <v>216</v>
      </c>
      <c r="D176" s="567">
        <v>1241</v>
      </c>
      <c r="E176" s="567">
        <v>6</v>
      </c>
      <c r="F176" s="567">
        <v>19</v>
      </c>
      <c r="G176" s="567">
        <v>119</v>
      </c>
      <c r="H176" s="567">
        <v>1110</v>
      </c>
      <c r="O176" s="568" t="s">
        <v>2444</v>
      </c>
      <c r="P176" s="22">
        <f t="shared" si="6"/>
        <v>1</v>
      </c>
      <c r="Q176" s="22">
        <f t="shared" si="7"/>
        <v>531</v>
      </c>
      <c r="R176" s="22">
        <f t="shared" si="8"/>
        <v>531</v>
      </c>
    </row>
    <row r="177" spans="1:18" x14ac:dyDescent="0.2">
      <c r="A177" s="567">
        <v>576</v>
      </c>
      <c r="B177" s="568" t="s">
        <v>215</v>
      </c>
      <c r="C177" s="568" t="s">
        <v>217</v>
      </c>
      <c r="D177" s="567">
        <v>1240</v>
      </c>
      <c r="E177" s="567">
        <v>6</v>
      </c>
      <c r="F177" s="567">
        <v>19</v>
      </c>
      <c r="G177" s="567">
        <v>119</v>
      </c>
      <c r="H177" s="567">
        <v>1110</v>
      </c>
      <c r="O177" s="568" t="s">
        <v>1531</v>
      </c>
      <c r="P177" s="22">
        <f t="shared" si="6"/>
        <v>14</v>
      </c>
      <c r="Q177" s="22">
        <f t="shared" si="7"/>
        <v>532</v>
      </c>
      <c r="R177" s="22">
        <f t="shared" si="8"/>
        <v>545</v>
      </c>
    </row>
    <row r="178" spans="1:18" x14ac:dyDescent="0.2">
      <c r="A178" s="567">
        <v>579</v>
      </c>
      <c r="B178" s="568" t="s">
        <v>215</v>
      </c>
      <c r="C178" s="568" t="s">
        <v>252</v>
      </c>
      <c r="D178" s="567">
        <v>1243</v>
      </c>
      <c r="E178" s="567">
        <v>6</v>
      </c>
      <c r="F178" s="567">
        <v>19</v>
      </c>
      <c r="G178" s="567">
        <v>119</v>
      </c>
      <c r="H178" s="567">
        <v>1110</v>
      </c>
      <c r="O178" s="568" t="s">
        <v>891</v>
      </c>
      <c r="P178" s="22">
        <f t="shared" si="6"/>
        <v>4</v>
      </c>
      <c r="Q178" s="22">
        <f t="shared" si="7"/>
        <v>546</v>
      </c>
      <c r="R178" s="22">
        <f t="shared" si="8"/>
        <v>549</v>
      </c>
    </row>
    <row r="179" spans="1:18" x14ac:dyDescent="0.2">
      <c r="A179" s="567">
        <v>2005</v>
      </c>
      <c r="B179" s="568" t="s">
        <v>1867</v>
      </c>
      <c r="C179" s="568" t="s">
        <v>1867</v>
      </c>
      <c r="D179" s="567">
        <v>5695</v>
      </c>
      <c r="E179" s="567">
        <v>4</v>
      </c>
      <c r="F179" s="567">
        <v>3</v>
      </c>
      <c r="G179" s="567">
        <v>315</v>
      </c>
      <c r="H179" s="567">
        <v>3120</v>
      </c>
      <c r="O179" s="568" t="s">
        <v>1925</v>
      </c>
      <c r="P179" s="22">
        <f t="shared" si="6"/>
        <v>1</v>
      </c>
      <c r="Q179" s="22">
        <f t="shared" si="7"/>
        <v>550</v>
      </c>
      <c r="R179" s="22">
        <f t="shared" si="8"/>
        <v>550</v>
      </c>
    </row>
    <row r="180" spans="1:18" x14ac:dyDescent="0.2">
      <c r="A180" s="567">
        <v>3242</v>
      </c>
      <c r="B180" s="568" t="s">
        <v>2839</v>
      </c>
      <c r="C180" s="568" t="s">
        <v>2838</v>
      </c>
      <c r="D180" s="567">
        <v>9403</v>
      </c>
      <c r="E180" s="567">
        <v>8</v>
      </c>
      <c r="F180" s="567">
        <v>11</v>
      </c>
      <c r="G180" s="567">
        <v>436</v>
      </c>
      <c r="H180" s="567">
        <v>4120</v>
      </c>
      <c r="O180" s="568" t="s">
        <v>1960</v>
      </c>
      <c r="P180" s="22">
        <f t="shared" si="6"/>
        <v>2</v>
      </c>
      <c r="Q180" s="22">
        <f t="shared" si="7"/>
        <v>551</v>
      </c>
      <c r="R180" s="22">
        <f t="shared" si="8"/>
        <v>552</v>
      </c>
    </row>
    <row r="181" spans="1:18" x14ac:dyDescent="0.2">
      <c r="A181" s="567">
        <v>3241</v>
      </c>
      <c r="B181" s="568" t="s">
        <v>2839</v>
      </c>
      <c r="C181" s="568" t="s">
        <v>82</v>
      </c>
      <c r="D181" s="567">
        <v>9402</v>
      </c>
      <c r="E181" s="567">
        <v>8</v>
      </c>
      <c r="F181" s="567">
        <v>11</v>
      </c>
      <c r="G181" s="567">
        <v>436</v>
      </c>
      <c r="H181" s="567">
        <v>4120</v>
      </c>
      <c r="O181" s="568" t="s">
        <v>1104</v>
      </c>
      <c r="P181" s="22">
        <f t="shared" si="6"/>
        <v>10</v>
      </c>
      <c r="Q181" s="22">
        <f t="shared" si="7"/>
        <v>553</v>
      </c>
      <c r="R181" s="22">
        <f t="shared" si="8"/>
        <v>562</v>
      </c>
    </row>
    <row r="182" spans="1:18" x14ac:dyDescent="0.2">
      <c r="A182" s="567">
        <v>3240</v>
      </c>
      <c r="B182" s="568" t="s">
        <v>2839</v>
      </c>
      <c r="C182" s="568" t="s">
        <v>2840</v>
      </c>
      <c r="D182" s="567">
        <v>9401</v>
      </c>
      <c r="E182" s="567">
        <v>8</v>
      </c>
      <c r="F182" s="567">
        <v>11</v>
      </c>
      <c r="G182" s="567">
        <v>436</v>
      </c>
      <c r="H182" s="567">
        <v>4120</v>
      </c>
      <c r="O182" s="568" t="s">
        <v>1163</v>
      </c>
      <c r="P182" s="22">
        <f t="shared" si="6"/>
        <v>1</v>
      </c>
      <c r="Q182" s="22">
        <f t="shared" si="7"/>
        <v>563</v>
      </c>
      <c r="R182" s="22">
        <f t="shared" si="8"/>
        <v>563</v>
      </c>
    </row>
    <row r="183" spans="1:18" x14ac:dyDescent="0.2">
      <c r="A183" s="567">
        <v>3239</v>
      </c>
      <c r="B183" s="568" t="s">
        <v>2839</v>
      </c>
      <c r="C183" s="568" t="s">
        <v>2839</v>
      </c>
      <c r="D183" s="567">
        <v>9400</v>
      </c>
      <c r="E183" s="567">
        <v>8</v>
      </c>
      <c r="F183" s="567">
        <v>11</v>
      </c>
      <c r="G183" s="567">
        <v>436</v>
      </c>
      <c r="H183" s="567">
        <v>4120</v>
      </c>
      <c r="O183" s="568" t="s">
        <v>1068</v>
      </c>
      <c r="P183" s="22">
        <f t="shared" si="6"/>
        <v>1</v>
      </c>
      <c r="Q183" s="22">
        <f t="shared" si="7"/>
        <v>564</v>
      </c>
      <c r="R183" s="22">
        <f t="shared" si="8"/>
        <v>564</v>
      </c>
    </row>
    <row r="184" spans="1:18" x14ac:dyDescent="0.2">
      <c r="A184" s="567">
        <v>575</v>
      </c>
      <c r="B184" s="568" t="s">
        <v>219</v>
      </c>
      <c r="C184" s="568" t="s">
        <v>218</v>
      </c>
      <c r="D184" s="567">
        <v>1234</v>
      </c>
      <c r="E184" s="567">
        <v>8</v>
      </c>
      <c r="F184" s="567">
        <v>2</v>
      </c>
      <c r="G184" s="567">
        <v>119</v>
      </c>
      <c r="H184" s="567">
        <v>1110</v>
      </c>
      <c r="O184" s="568" t="s">
        <v>1095</v>
      </c>
      <c r="P184" s="22">
        <f t="shared" si="6"/>
        <v>2</v>
      </c>
      <c r="Q184" s="22">
        <f t="shared" si="7"/>
        <v>565</v>
      </c>
      <c r="R184" s="22">
        <f t="shared" si="8"/>
        <v>566</v>
      </c>
    </row>
    <row r="185" spans="1:18" x14ac:dyDescent="0.2">
      <c r="A185" s="567">
        <v>574</v>
      </c>
      <c r="B185" s="568" t="s">
        <v>219</v>
      </c>
      <c r="C185" s="568" t="s">
        <v>220</v>
      </c>
      <c r="D185" s="567">
        <v>1233</v>
      </c>
      <c r="E185" s="567">
        <v>8</v>
      </c>
      <c r="F185" s="567">
        <v>2</v>
      </c>
      <c r="G185" s="567">
        <v>119</v>
      </c>
      <c r="H185" s="567">
        <v>1110</v>
      </c>
      <c r="O185" s="568" t="s">
        <v>2069</v>
      </c>
      <c r="P185" s="22">
        <f t="shared" si="6"/>
        <v>1</v>
      </c>
      <c r="Q185" s="22">
        <f t="shared" si="7"/>
        <v>567</v>
      </c>
      <c r="R185" s="22">
        <f t="shared" si="8"/>
        <v>567</v>
      </c>
    </row>
    <row r="186" spans="1:18" x14ac:dyDescent="0.2">
      <c r="A186" s="567">
        <v>573</v>
      </c>
      <c r="B186" s="568" t="s">
        <v>219</v>
      </c>
      <c r="C186" s="568" t="s">
        <v>221</v>
      </c>
      <c r="D186" s="567">
        <v>1232</v>
      </c>
      <c r="E186" s="567">
        <v>8</v>
      </c>
      <c r="F186" s="567">
        <v>2</v>
      </c>
      <c r="G186" s="567">
        <v>119</v>
      </c>
      <c r="H186" s="567">
        <v>1110</v>
      </c>
      <c r="O186" s="568" t="s">
        <v>2697</v>
      </c>
      <c r="P186" s="22">
        <f t="shared" si="6"/>
        <v>3</v>
      </c>
      <c r="Q186" s="22">
        <f t="shared" si="7"/>
        <v>568</v>
      </c>
      <c r="R186" s="22">
        <f t="shared" si="8"/>
        <v>570</v>
      </c>
    </row>
    <row r="187" spans="1:18" x14ac:dyDescent="0.2">
      <c r="A187" s="567">
        <v>572</v>
      </c>
      <c r="B187" s="568" t="s">
        <v>219</v>
      </c>
      <c r="C187" s="568" t="s">
        <v>222</v>
      </c>
      <c r="D187" s="567">
        <v>1231</v>
      </c>
      <c r="E187" s="567">
        <v>8</v>
      </c>
      <c r="F187" s="567">
        <v>2</v>
      </c>
      <c r="G187" s="567">
        <v>119</v>
      </c>
      <c r="H187" s="567">
        <v>1110</v>
      </c>
      <c r="O187" s="568" t="s">
        <v>228</v>
      </c>
      <c r="P187" s="22">
        <f t="shared" si="6"/>
        <v>2</v>
      </c>
      <c r="Q187" s="22">
        <f t="shared" si="7"/>
        <v>571</v>
      </c>
      <c r="R187" s="22">
        <f t="shared" si="8"/>
        <v>572</v>
      </c>
    </row>
    <row r="188" spans="1:18" x14ac:dyDescent="0.2">
      <c r="A188" s="567">
        <v>571</v>
      </c>
      <c r="B188" s="568" t="s">
        <v>219</v>
      </c>
      <c r="C188" s="568" t="s">
        <v>219</v>
      </c>
      <c r="D188" s="567">
        <v>1230</v>
      </c>
      <c r="E188" s="567">
        <v>8</v>
      </c>
      <c r="F188" s="567">
        <v>2</v>
      </c>
      <c r="G188" s="567">
        <v>119</v>
      </c>
      <c r="H188" s="567">
        <v>1110</v>
      </c>
      <c r="O188" s="568" t="s">
        <v>2641</v>
      </c>
      <c r="P188" s="22">
        <f t="shared" si="6"/>
        <v>10</v>
      </c>
      <c r="Q188" s="22">
        <f t="shared" si="7"/>
        <v>573</v>
      </c>
      <c r="R188" s="22">
        <f t="shared" si="8"/>
        <v>582</v>
      </c>
    </row>
    <row r="189" spans="1:18" x14ac:dyDescent="0.2">
      <c r="A189" s="567">
        <v>2501</v>
      </c>
      <c r="B189" s="568" t="s">
        <v>2064</v>
      </c>
      <c r="C189" s="568" t="s">
        <v>2063</v>
      </c>
      <c r="D189" s="567">
        <v>7191</v>
      </c>
      <c r="E189" s="567">
        <v>6</v>
      </c>
      <c r="F189" s="567">
        <v>3</v>
      </c>
      <c r="G189" s="567">
        <v>336</v>
      </c>
      <c r="H189" s="567">
        <v>3130</v>
      </c>
      <c r="O189" s="568" t="s">
        <v>2343</v>
      </c>
      <c r="P189" s="22">
        <f t="shared" si="6"/>
        <v>1</v>
      </c>
      <c r="Q189" s="22">
        <f t="shared" si="7"/>
        <v>583</v>
      </c>
      <c r="R189" s="22">
        <f t="shared" si="8"/>
        <v>583</v>
      </c>
    </row>
    <row r="190" spans="1:18" x14ac:dyDescent="0.2">
      <c r="A190" s="567">
        <v>2502</v>
      </c>
      <c r="B190" s="568" t="s">
        <v>2064</v>
      </c>
      <c r="C190" s="568" t="s">
        <v>2074</v>
      </c>
      <c r="D190" s="567">
        <v>7192</v>
      </c>
      <c r="E190" s="567">
        <v>6</v>
      </c>
      <c r="F190" s="567">
        <v>3</v>
      </c>
      <c r="G190" s="567">
        <v>336</v>
      </c>
      <c r="H190" s="567">
        <v>3130</v>
      </c>
      <c r="O190" s="568" t="s">
        <v>1702</v>
      </c>
      <c r="P190" s="22">
        <f t="shared" si="6"/>
        <v>5</v>
      </c>
      <c r="Q190" s="22">
        <f t="shared" si="7"/>
        <v>584</v>
      </c>
      <c r="R190" s="22">
        <f t="shared" si="8"/>
        <v>588</v>
      </c>
    </row>
    <row r="191" spans="1:18" x14ac:dyDescent="0.2">
      <c r="A191" s="567">
        <v>2500</v>
      </c>
      <c r="B191" s="568" t="s">
        <v>2064</v>
      </c>
      <c r="C191" s="568" t="s">
        <v>2076</v>
      </c>
      <c r="D191" s="567">
        <v>7190</v>
      </c>
      <c r="E191" s="567">
        <v>6</v>
      </c>
      <c r="F191" s="567">
        <v>3</v>
      </c>
      <c r="G191" s="567">
        <v>336</v>
      </c>
      <c r="H191" s="567">
        <v>3130</v>
      </c>
      <c r="O191" s="568" t="s">
        <v>523</v>
      </c>
      <c r="P191" s="22">
        <f t="shared" si="6"/>
        <v>1</v>
      </c>
      <c r="Q191" s="22">
        <f t="shared" si="7"/>
        <v>589</v>
      </c>
      <c r="R191" s="22">
        <f t="shared" si="8"/>
        <v>589</v>
      </c>
    </row>
    <row r="192" spans="1:18" x14ac:dyDescent="0.2">
      <c r="A192" s="567">
        <v>2503</v>
      </c>
      <c r="B192" s="568" t="s">
        <v>2064</v>
      </c>
      <c r="C192" s="568" t="s">
        <v>2109</v>
      </c>
      <c r="D192" s="567">
        <v>7193</v>
      </c>
      <c r="E192" s="567">
        <v>6</v>
      </c>
      <c r="F192" s="567">
        <v>3</v>
      </c>
      <c r="G192" s="567">
        <v>336</v>
      </c>
      <c r="H192" s="567">
        <v>3130</v>
      </c>
      <c r="O192" s="568" t="s">
        <v>996</v>
      </c>
      <c r="P192" s="22">
        <f t="shared" si="6"/>
        <v>8</v>
      </c>
      <c r="Q192" s="22">
        <f t="shared" si="7"/>
        <v>590</v>
      </c>
      <c r="R192" s="22">
        <f t="shared" si="8"/>
        <v>597</v>
      </c>
    </row>
    <row r="193" spans="1:18" x14ac:dyDescent="0.2">
      <c r="A193" s="567">
        <v>3042</v>
      </c>
      <c r="B193" s="568" t="s">
        <v>2767</v>
      </c>
      <c r="C193" s="568" t="s">
        <v>2766</v>
      </c>
      <c r="D193" s="567">
        <v>8760</v>
      </c>
      <c r="E193" s="567">
        <v>13</v>
      </c>
      <c r="F193" s="567">
        <v>11</v>
      </c>
      <c r="G193" s="567">
        <v>426</v>
      </c>
      <c r="H193" s="567">
        <v>4110</v>
      </c>
      <c r="O193" s="568" t="s">
        <v>372</v>
      </c>
      <c r="P193" s="22">
        <f t="shared" si="6"/>
        <v>13</v>
      </c>
      <c r="Q193" s="22">
        <f t="shared" si="7"/>
        <v>598</v>
      </c>
      <c r="R193" s="22">
        <f t="shared" si="8"/>
        <v>610</v>
      </c>
    </row>
    <row r="194" spans="1:18" x14ac:dyDescent="0.2">
      <c r="A194" s="567">
        <v>3043</v>
      </c>
      <c r="B194" s="568" t="s">
        <v>2767</v>
      </c>
      <c r="C194" s="568" t="s">
        <v>1737</v>
      </c>
      <c r="D194" s="567">
        <v>8761</v>
      </c>
      <c r="E194" s="567">
        <v>13</v>
      </c>
      <c r="F194" s="567">
        <v>11</v>
      </c>
      <c r="G194" s="567">
        <v>426</v>
      </c>
      <c r="H194" s="567">
        <v>4110</v>
      </c>
      <c r="O194" s="568" t="s">
        <v>2581</v>
      </c>
      <c r="P194" s="22">
        <f t="shared" si="6"/>
        <v>4</v>
      </c>
      <c r="Q194" s="22">
        <f t="shared" si="7"/>
        <v>611</v>
      </c>
      <c r="R194" s="22">
        <f t="shared" si="8"/>
        <v>614</v>
      </c>
    </row>
    <row r="195" spans="1:18" x14ac:dyDescent="0.2">
      <c r="A195" s="567">
        <v>866</v>
      </c>
      <c r="B195" s="568" t="s">
        <v>441</v>
      </c>
      <c r="C195" s="568" t="s">
        <v>440</v>
      </c>
      <c r="D195" s="567">
        <v>2185</v>
      </c>
      <c r="E195" s="567">
        <v>6</v>
      </c>
      <c r="F195" s="567">
        <v>14</v>
      </c>
      <c r="G195" s="567">
        <v>117</v>
      </c>
      <c r="H195" s="567">
        <v>1130</v>
      </c>
      <c r="O195" s="568" t="s">
        <v>3169</v>
      </c>
      <c r="P195" s="22">
        <f t="shared" si="6"/>
        <v>1</v>
      </c>
      <c r="Q195" s="22">
        <f t="shared" si="7"/>
        <v>615</v>
      </c>
      <c r="R195" s="22">
        <f t="shared" si="8"/>
        <v>615</v>
      </c>
    </row>
    <row r="196" spans="1:18" x14ac:dyDescent="0.2">
      <c r="A196" s="567">
        <v>867</v>
      </c>
      <c r="B196" s="568" t="s">
        <v>441</v>
      </c>
      <c r="C196" s="568" t="s">
        <v>442</v>
      </c>
      <c r="D196" s="567">
        <v>2186</v>
      </c>
      <c r="E196" s="567">
        <v>6</v>
      </c>
      <c r="F196" s="567">
        <v>14</v>
      </c>
      <c r="G196" s="567">
        <v>117</v>
      </c>
      <c r="H196" s="567">
        <v>1130</v>
      </c>
      <c r="O196" s="568" t="s">
        <v>1741</v>
      </c>
      <c r="P196" s="22">
        <f t="shared" si="6"/>
        <v>1</v>
      </c>
      <c r="Q196" s="22">
        <f t="shared" si="7"/>
        <v>616</v>
      </c>
      <c r="R196" s="22">
        <f t="shared" si="8"/>
        <v>616</v>
      </c>
    </row>
    <row r="197" spans="1:18" x14ac:dyDescent="0.2">
      <c r="A197" s="567">
        <v>868</v>
      </c>
      <c r="B197" s="568" t="s">
        <v>441</v>
      </c>
      <c r="C197" s="568" t="s">
        <v>443</v>
      </c>
      <c r="D197" s="567">
        <v>2187</v>
      </c>
      <c r="E197" s="567">
        <v>6</v>
      </c>
      <c r="F197" s="567">
        <v>14</v>
      </c>
      <c r="G197" s="567">
        <v>117</v>
      </c>
      <c r="H197" s="567">
        <v>1130</v>
      </c>
      <c r="O197" s="568" t="s">
        <v>2618</v>
      </c>
      <c r="P197" s="22">
        <f t="shared" si="6"/>
        <v>1</v>
      </c>
      <c r="Q197" s="22">
        <f t="shared" si="7"/>
        <v>617</v>
      </c>
      <c r="R197" s="22">
        <f t="shared" si="8"/>
        <v>617</v>
      </c>
    </row>
    <row r="198" spans="1:18" x14ac:dyDescent="0.2">
      <c r="A198" s="567">
        <v>2139</v>
      </c>
      <c r="B198" s="568" t="s">
        <v>1731</v>
      </c>
      <c r="C198" s="568" t="s">
        <v>1730</v>
      </c>
      <c r="D198" s="567">
        <v>6131</v>
      </c>
      <c r="E198" s="567">
        <v>3</v>
      </c>
      <c r="F198" s="567">
        <v>8</v>
      </c>
      <c r="G198" s="567">
        <v>326</v>
      </c>
      <c r="H198" s="567">
        <v>3100</v>
      </c>
      <c r="O198" s="568" t="s">
        <v>699</v>
      </c>
      <c r="P198" s="22">
        <f t="shared" si="6"/>
        <v>1</v>
      </c>
      <c r="Q198" s="22">
        <f t="shared" si="7"/>
        <v>618</v>
      </c>
      <c r="R198" s="22">
        <f t="shared" si="8"/>
        <v>618</v>
      </c>
    </row>
    <row r="199" spans="1:18" x14ac:dyDescent="0.2">
      <c r="A199" s="567">
        <v>2141</v>
      </c>
      <c r="B199" s="568" t="s">
        <v>1731</v>
      </c>
      <c r="C199" s="568" t="s">
        <v>1760</v>
      </c>
      <c r="D199" s="567">
        <v>6133</v>
      </c>
      <c r="E199" s="567">
        <v>3</v>
      </c>
      <c r="F199" s="567">
        <v>8</v>
      </c>
      <c r="G199" s="567">
        <v>326</v>
      </c>
      <c r="H199" s="567">
        <v>3100</v>
      </c>
      <c r="O199" s="568" t="s">
        <v>3133</v>
      </c>
      <c r="P199" s="22">
        <f t="shared" si="6"/>
        <v>6</v>
      </c>
      <c r="Q199" s="22">
        <f t="shared" si="7"/>
        <v>619</v>
      </c>
      <c r="R199" s="22">
        <f t="shared" si="8"/>
        <v>624</v>
      </c>
    </row>
    <row r="200" spans="1:18" x14ac:dyDescent="0.2">
      <c r="A200" s="567">
        <v>2144</v>
      </c>
      <c r="B200" s="568" t="s">
        <v>1731</v>
      </c>
      <c r="C200" s="568" t="s">
        <v>1777</v>
      </c>
      <c r="D200" s="567">
        <v>6136</v>
      </c>
      <c r="E200" s="567">
        <v>3</v>
      </c>
      <c r="F200" s="567">
        <v>8</v>
      </c>
      <c r="G200" s="567">
        <v>326</v>
      </c>
      <c r="H200" s="567">
        <v>3100</v>
      </c>
      <c r="O200" s="568" t="s">
        <v>438</v>
      </c>
      <c r="P200" s="22">
        <f t="shared" si="6"/>
        <v>2</v>
      </c>
      <c r="Q200" s="22">
        <f t="shared" si="7"/>
        <v>625</v>
      </c>
      <c r="R200" s="22">
        <f t="shared" si="8"/>
        <v>626</v>
      </c>
    </row>
    <row r="201" spans="1:18" x14ac:dyDescent="0.2">
      <c r="A201" s="567">
        <v>2143</v>
      </c>
      <c r="B201" s="568" t="s">
        <v>1731</v>
      </c>
      <c r="C201" s="568" t="s">
        <v>1790</v>
      </c>
      <c r="D201" s="567">
        <v>6135</v>
      </c>
      <c r="E201" s="567">
        <v>3</v>
      </c>
      <c r="F201" s="567">
        <v>8</v>
      </c>
      <c r="G201" s="567">
        <v>326</v>
      </c>
      <c r="H201" s="567">
        <v>3100</v>
      </c>
      <c r="O201" s="568" t="s">
        <v>2425</v>
      </c>
      <c r="P201" s="22">
        <f t="shared" si="6"/>
        <v>1</v>
      </c>
      <c r="Q201" s="22">
        <f t="shared" si="7"/>
        <v>627</v>
      </c>
      <c r="R201" s="22">
        <f t="shared" si="8"/>
        <v>627</v>
      </c>
    </row>
    <row r="202" spans="1:18" x14ac:dyDescent="0.2">
      <c r="A202" s="567">
        <v>2142</v>
      </c>
      <c r="B202" s="568" t="s">
        <v>1731</v>
      </c>
      <c r="C202" s="568" t="s">
        <v>1800</v>
      </c>
      <c r="D202" s="567">
        <v>6134</v>
      </c>
      <c r="E202" s="567">
        <v>3</v>
      </c>
      <c r="F202" s="567">
        <v>8</v>
      </c>
      <c r="G202" s="567">
        <v>326</v>
      </c>
      <c r="H202" s="567">
        <v>3100</v>
      </c>
      <c r="O202" s="568" t="s">
        <v>2356</v>
      </c>
      <c r="P202" s="22">
        <f t="shared" si="6"/>
        <v>2</v>
      </c>
      <c r="Q202" s="22">
        <f t="shared" si="7"/>
        <v>628</v>
      </c>
      <c r="R202" s="22">
        <f t="shared" si="8"/>
        <v>629</v>
      </c>
    </row>
    <row r="203" spans="1:18" x14ac:dyDescent="0.2">
      <c r="A203" s="567">
        <v>2138</v>
      </c>
      <c r="B203" s="568" t="s">
        <v>1731</v>
      </c>
      <c r="C203" s="568" t="s">
        <v>1802</v>
      </c>
      <c r="D203" s="567">
        <v>6130</v>
      </c>
      <c r="E203" s="567">
        <v>3</v>
      </c>
      <c r="F203" s="567">
        <v>8</v>
      </c>
      <c r="G203" s="567">
        <v>326</v>
      </c>
      <c r="H203" s="567">
        <v>3100</v>
      </c>
      <c r="O203" s="568" t="s">
        <v>857</v>
      </c>
      <c r="P203" s="22">
        <f t="shared" si="6"/>
        <v>1</v>
      </c>
      <c r="Q203" s="22">
        <f t="shared" si="7"/>
        <v>630</v>
      </c>
      <c r="R203" s="22">
        <f t="shared" si="8"/>
        <v>630</v>
      </c>
    </row>
    <row r="204" spans="1:18" x14ac:dyDescent="0.2">
      <c r="A204" s="567">
        <v>2140</v>
      </c>
      <c r="B204" s="568" t="s">
        <v>1731</v>
      </c>
      <c r="C204" s="568" t="s">
        <v>1804</v>
      </c>
      <c r="D204" s="567">
        <v>6132</v>
      </c>
      <c r="E204" s="567">
        <v>3</v>
      </c>
      <c r="F204" s="567">
        <v>8</v>
      </c>
      <c r="G204" s="567">
        <v>326</v>
      </c>
      <c r="H204" s="567">
        <v>3100</v>
      </c>
      <c r="O204" s="568" t="s">
        <v>874</v>
      </c>
      <c r="P204" s="22">
        <f t="shared" si="6"/>
        <v>1</v>
      </c>
      <c r="Q204" s="22">
        <f t="shared" si="7"/>
        <v>631</v>
      </c>
      <c r="R204" s="22">
        <f t="shared" si="8"/>
        <v>631</v>
      </c>
    </row>
    <row r="205" spans="1:18" x14ac:dyDescent="0.2">
      <c r="A205" s="567">
        <v>379</v>
      </c>
      <c r="B205" s="568" t="s">
        <v>538</v>
      </c>
      <c r="C205" s="568" t="s">
        <v>537</v>
      </c>
      <c r="D205" s="567">
        <v>680</v>
      </c>
      <c r="E205" s="567">
        <v>5</v>
      </c>
      <c r="F205" s="567">
        <v>1</v>
      </c>
      <c r="G205" s="567">
        <v>125</v>
      </c>
      <c r="H205" s="567">
        <v>1150</v>
      </c>
      <c r="O205" s="568" t="s">
        <v>2438</v>
      </c>
      <c r="P205" s="22">
        <f t="shared" si="6"/>
        <v>1</v>
      </c>
      <c r="Q205" s="22">
        <f t="shared" si="7"/>
        <v>632</v>
      </c>
      <c r="R205" s="22">
        <f t="shared" si="8"/>
        <v>632</v>
      </c>
    </row>
    <row r="206" spans="1:18" x14ac:dyDescent="0.2">
      <c r="A206" s="567">
        <v>380</v>
      </c>
      <c r="B206" s="568" t="s">
        <v>538</v>
      </c>
      <c r="C206" s="568" t="s">
        <v>539</v>
      </c>
      <c r="D206" s="567">
        <v>681</v>
      </c>
      <c r="E206" s="567">
        <v>5</v>
      </c>
      <c r="F206" s="567">
        <v>1</v>
      </c>
      <c r="G206" s="567">
        <v>125</v>
      </c>
      <c r="H206" s="567">
        <v>1150</v>
      </c>
      <c r="O206" s="568" t="s">
        <v>1828</v>
      </c>
      <c r="P206" s="22">
        <f t="shared" si="6"/>
        <v>1</v>
      </c>
      <c r="Q206" s="22">
        <f t="shared" si="7"/>
        <v>633</v>
      </c>
      <c r="R206" s="22">
        <f t="shared" si="8"/>
        <v>633</v>
      </c>
    </row>
    <row r="207" spans="1:18" x14ac:dyDescent="0.2">
      <c r="A207" s="567">
        <v>381</v>
      </c>
      <c r="B207" s="568" t="s">
        <v>538</v>
      </c>
      <c r="C207" s="568" t="s">
        <v>540</v>
      </c>
      <c r="D207" s="567">
        <v>682</v>
      </c>
      <c r="E207" s="567">
        <v>5</v>
      </c>
      <c r="F207" s="567">
        <v>1</v>
      </c>
      <c r="G207" s="567">
        <v>125</v>
      </c>
      <c r="H207" s="567">
        <v>1150</v>
      </c>
      <c r="O207" s="568" t="s">
        <v>2979</v>
      </c>
      <c r="P207" s="22">
        <f t="shared" ref="P207:P270" si="9">COUNTIF($B$13:$B$3400,O207)</f>
        <v>1</v>
      </c>
      <c r="Q207" s="22">
        <f t="shared" si="7"/>
        <v>634</v>
      </c>
      <c r="R207" s="22">
        <f t="shared" si="8"/>
        <v>634</v>
      </c>
    </row>
    <row r="208" spans="1:18" x14ac:dyDescent="0.2">
      <c r="A208" s="567">
        <v>1501</v>
      </c>
      <c r="B208" s="568" t="s">
        <v>1637</v>
      </c>
      <c r="C208" s="568" t="s">
        <v>1126</v>
      </c>
      <c r="D208" s="567">
        <v>4112</v>
      </c>
      <c r="E208" s="567">
        <v>33</v>
      </c>
      <c r="F208" s="567">
        <v>7</v>
      </c>
      <c r="G208" s="567">
        <v>235</v>
      </c>
      <c r="H208" s="567">
        <v>2160</v>
      </c>
      <c r="O208" s="568" t="s">
        <v>1298</v>
      </c>
      <c r="P208" s="22">
        <f t="shared" si="9"/>
        <v>2</v>
      </c>
      <c r="Q208" s="22">
        <f t="shared" si="7"/>
        <v>635</v>
      </c>
      <c r="R208" s="22">
        <f t="shared" si="8"/>
        <v>636</v>
      </c>
    </row>
    <row r="209" spans="1:18" x14ac:dyDescent="0.2">
      <c r="A209" s="567">
        <v>1499</v>
      </c>
      <c r="B209" s="568" t="s">
        <v>1637</v>
      </c>
      <c r="C209" s="568" t="s">
        <v>1639</v>
      </c>
      <c r="D209" s="567">
        <v>4110</v>
      </c>
      <c r="E209" s="567">
        <v>33</v>
      </c>
      <c r="F209" s="567">
        <v>7</v>
      </c>
      <c r="G209" s="567">
        <v>235</v>
      </c>
      <c r="H209" s="567">
        <v>2160</v>
      </c>
      <c r="O209" s="568" t="s">
        <v>2468</v>
      </c>
      <c r="P209" s="22">
        <f t="shared" si="9"/>
        <v>3</v>
      </c>
      <c r="Q209" s="22">
        <f t="shared" ref="Q209:Q272" si="10">R208+1</f>
        <v>637</v>
      </c>
      <c r="R209" s="22">
        <f t="shared" ref="R209:R272" si="11">R208+P209</f>
        <v>639</v>
      </c>
    </row>
    <row r="210" spans="1:18" x14ac:dyDescent="0.2">
      <c r="A210" s="567">
        <v>1500</v>
      </c>
      <c r="B210" s="568" t="s">
        <v>1637</v>
      </c>
      <c r="C210" s="568" t="s">
        <v>1640</v>
      </c>
      <c r="D210" s="567">
        <v>4111</v>
      </c>
      <c r="E210" s="567">
        <v>33</v>
      </c>
      <c r="F210" s="567">
        <v>7</v>
      </c>
      <c r="G210" s="567">
        <v>235</v>
      </c>
      <c r="H210" s="567">
        <v>2160</v>
      </c>
      <c r="O210" s="568" t="s">
        <v>2961</v>
      </c>
      <c r="P210" s="22">
        <f t="shared" si="9"/>
        <v>1</v>
      </c>
      <c r="Q210" s="22">
        <f t="shared" si="10"/>
        <v>640</v>
      </c>
      <c r="R210" s="22">
        <f t="shared" si="11"/>
        <v>640</v>
      </c>
    </row>
    <row r="211" spans="1:18" x14ac:dyDescent="0.2">
      <c r="A211" s="567">
        <v>1502</v>
      </c>
      <c r="B211" s="568" t="s">
        <v>1637</v>
      </c>
      <c r="C211" s="568" t="s">
        <v>1642</v>
      </c>
      <c r="D211" s="567">
        <v>4113</v>
      </c>
      <c r="E211" s="567">
        <v>33</v>
      </c>
      <c r="F211" s="567">
        <v>7</v>
      </c>
      <c r="G211" s="567">
        <v>235</v>
      </c>
      <c r="H211" s="567">
        <v>2160</v>
      </c>
      <c r="O211" s="568" t="s">
        <v>2747</v>
      </c>
      <c r="P211" s="22">
        <f t="shared" si="9"/>
        <v>1</v>
      </c>
      <c r="Q211" s="22">
        <f t="shared" si="10"/>
        <v>641</v>
      </c>
      <c r="R211" s="22">
        <f t="shared" si="11"/>
        <v>641</v>
      </c>
    </row>
    <row r="212" spans="1:18" x14ac:dyDescent="0.2">
      <c r="A212" s="567">
        <v>1955</v>
      </c>
      <c r="B212" s="568" t="s">
        <v>1896</v>
      </c>
      <c r="C212" s="568" t="s">
        <v>1895</v>
      </c>
      <c r="D212" s="567">
        <v>5524</v>
      </c>
      <c r="E212" s="567">
        <v>6</v>
      </c>
      <c r="F212" s="567">
        <v>3</v>
      </c>
      <c r="G212" s="567">
        <v>315</v>
      </c>
      <c r="H212" s="567">
        <v>3120</v>
      </c>
      <c r="O212" s="568" t="s">
        <v>827</v>
      </c>
      <c r="P212" s="22">
        <f t="shared" si="9"/>
        <v>1</v>
      </c>
      <c r="Q212" s="22">
        <f t="shared" si="10"/>
        <v>642</v>
      </c>
      <c r="R212" s="22">
        <f t="shared" si="11"/>
        <v>642</v>
      </c>
    </row>
    <row r="213" spans="1:18" x14ac:dyDescent="0.2">
      <c r="A213" s="567">
        <v>1954</v>
      </c>
      <c r="B213" s="568" t="s">
        <v>1896</v>
      </c>
      <c r="C213" s="568" t="s">
        <v>1897</v>
      </c>
      <c r="D213" s="567">
        <v>5523</v>
      </c>
      <c r="E213" s="567">
        <v>6</v>
      </c>
      <c r="F213" s="567">
        <v>3</v>
      </c>
      <c r="G213" s="567">
        <v>315</v>
      </c>
      <c r="H213" s="567">
        <v>3120</v>
      </c>
      <c r="O213" s="568" t="s">
        <v>1450</v>
      </c>
      <c r="P213" s="22">
        <f t="shared" si="9"/>
        <v>2</v>
      </c>
      <c r="Q213" s="22">
        <f t="shared" si="10"/>
        <v>643</v>
      </c>
      <c r="R213" s="22">
        <f t="shared" si="11"/>
        <v>644</v>
      </c>
    </row>
    <row r="214" spans="1:18" x14ac:dyDescent="0.2">
      <c r="A214" s="567">
        <v>1953</v>
      </c>
      <c r="B214" s="568" t="s">
        <v>1896</v>
      </c>
      <c r="C214" s="568" t="s">
        <v>430</v>
      </c>
      <c r="D214" s="567">
        <v>5522</v>
      </c>
      <c r="E214" s="567">
        <v>6</v>
      </c>
      <c r="F214" s="567">
        <v>3</v>
      </c>
      <c r="G214" s="567">
        <v>315</v>
      </c>
      <c r="H214" s="567">
        <v>3120</v>
      </c>
      <c r="O214" s="568" t="s">
        <v>3281</v>
      </c>
      <c r="P214" s="22">
        <f t="shared" si="9"/>
        <v>2</v>
      </c>
      <c r="Q214" s="22">
        <f t="shared" si="10"/>
        <v>645</v>
      </c>
      <c r="R214" s="22">
        <f t="shared" si="11"/>
        <v>646</v>
      </c>
    </row>
    <row r="215" spans="1:18" x14ac:dyDescent="0.2">
      <c r="A215" s="567">
        <v>1952</v>
      </c>
      <c r="B215" s="568" t="s">
        <v>1896</v>
      </c>
      <c r="C215" s="568" t="s">
        <v>1898</v>
      </c>
      <c r="D215" s="567">
        <v>5521</v>
      </c>
      <c r="E215" s="567">
        <v>6</v>
      </c>
      <c r="F215" s="567">
        <v>3</v>
      </c>
      <c r="G215" s="567">
        <v>315</v>
      </c>
      <c r="H215" s="567">
        <v>3120</v>
      </c>
      <c r="O215" s="568" t="s">
        <v>2371</v>
      </c>
      <c r="P215" s="22">
        <f t="shared" si="9"/>
        <v>5</v>
      </c>
      <c r="Q215" s="22">
        <f t="shared" si="10"/>
        <v>647</v>
      </c>
      <c r="R215" s="22">
        <f t="shared" si="11"/>
        <v>651</v>
      </c>
    </row>
    <row r="216" spans="1:18" x14ac:dyDescent="0.2">
      <c r="A216" s="567">
        <v>1951</v>
      </c>
      <c r="B216" s="568" t="s">
        <v>1896</v>
      </c>
      <c r="C216" s="568" t="s">
        <v>1899</v>
      </c>
      <c r="D216" s="567">
        <v>5520</v>
      </c>
      <c r="E216" s="567">
        <v>6</v>
      </c>
      <c r="F216" s="567">
        <v>3</v>
      </c>
      <c r="G216" s="567">
        <v>315</v>
      </c>
      <c r="H216" s="567">
        <v>3120</v>
      </c>
      <c r="O216" s="568" t="s">
        <v>487</v>
      </c>
      <c r="P216" s="22">
        <f t="shared" si="9"/>
        <v>7</v>
      </c>
      <c r="Q216" s="22">
        <f t="shared" si="10"/>
        <v>652</v>
      </c>
      <c r="R216" s="22">
        <f t="shared" si="11"/>
        <v>658</v>
      </c>
    </row>
    <row r="217" spans="1:18" x14ac:dyDescent="0.2">
      <c r="A217" s="567">
        <v>1493</v>
      </c>
      <c r="B217" s="568" t="s">
        <v>1650</v>
      </c>
      <c r="C217" s="568" t="s">
        <v>1649</v>
      </c>
      <c r="D217" s="567">
        <v>4096</v>
      </c>
      <c r="E217" s="567">
        <v>8</v>
      </c>
      <c r="F217" s="567">
        <v>17</v>
      </c>
      <c r="G217" s="567">
        <v>235</v>
      </c>
      <c r="H217" s="567">
        <v>2160</v>
      </c>
      <c r="O217" s="568" t="s">
        <v>747</v>
      </c>
      <c r="P217" s="22">
        <f t="shared" si="9"/>
        <v>4</v>
      </c>
      <c r="Q217" s="22">
        <f t="shared" si="10"/>
        <v>659</v>
      </c>
      <c r="R217" s="22">
        <f t="shared" si="11"/>
        <v>662</v>
      </c>
    </row>
    <row r="218" spans="1:18" x14ac:dyDescent="0.2">
      <c r="A218" s="567">
        <v>1492</v>
      </c>
      <c r="B218" s="568" t="s">
        <v>1650</v>
      </c>
      <c r="C218" s="568" t="s">
        <v>1662</v>
      </c>
      <c r="D218" s="567">
        <v>4095</v>
      </c>
      <c r="E218" s="567">
        <v>8</v>
      </c>
      <c r="F218" s="567">
        <v>17</v>
      </c>
      <c r="G218" s="567">
        <v>235</v>
      </c>
      <c r="H218" s="567">
        <v>2160</v>
      </c>
      <c r="O218" s="568" t="s">
        <v>1643</v>
      </c>
      <c r="P218" s="22">
        <f t="shared" si="9"/>
        <v>1</v>
      </c>
      <c r="Q218" s="22">
        <f t="shared" si="10"/>
        <v>663</v>
      </c>
      <c r="R218" s="22">
        <f t="shared" si="11"/>
        <v>663</v>
      </c>
    </row>
    <row r="219" spans="1:18" x14ac:dyDescent="0.2">
      <c r="A219" s="567">
        <v>1487</v>
      </c>
      <c r="B219" s="568" t="s">
        <v>1650</v>
      </c>
      <c r="C219" s="568" t="s">
        <v>1665</v>
      </c>
      <c r="D219" s="567">
        <v>4090</v>
      </c>
      <c r="E219" s="567">
        <v>8</v>
      </c>
      <c r="F219" s="567">
        <v>17</v>
      </c>
      <c r="G219" s="567">
        <v>235</v>
      </c>
      <c r="H219" s="567">
        <v>2160</v>
      </c>
      <c r="O219" s="568" t="s">
        <v>2487</v>
      </c>
      <c r="P219" s="22">
        <f t="shared" si="9"/>
        <v>1</v>
      </c>
      <c r="Q219" s="22">
        <f t="shared" si="10"/>
        <v>664</v>
      </c>
      <c r="R219" s="22">
        <f t="shared" si="11"/>
        <v>664</v>
      </c>
    </row>
    <row r="220" spans="1:18" x14ac:dyDescent="0.2">
      <c r="A220" s="567">
        <v>1488</v>
      </c>
      <c r="B220" s="568" t="s">
        <v>1650</v>
      </c>
      <c r="C220" s="568" t="s">
        <v>1666</v>
      </c>
      <c r="D220" s="567">
        <v>4091</v>
      </c>
      <c r="E220" s="567">
        <v>8</v>
      </c>
      <c r="F220" s="567">
        <v>17</v>
      </c>
      <c r="G220" s="567">
        <v>235</v>
      </c>
      <c r="H220" s="567">
        <v>2160</v>
      </c>
      <c r="O220" s="568" t="s">
        <v>1771</v>
      </c>
      <c r="P220" s="22">
        <f t="shared" si="9"/>
        <v>8</v>
      </c>
      <c r="Q220" s="22">
        <f t="shared" si="10"/>
        <v>665</v>
      </c>
      <c r="R220" s="22">
        <f t="shared" si="11"/>
        <v>672</v>
      </c>
    </row>
    <row r="221" spans="1:18" x14ac:dyDescent="0.2">
      <c r="A221" s="567">
        <v>1489</v>
      </c>
      <c r="B221" s="568" t="s">
        <v>1650</v>
      </c>
      <c r="C221" s="568" t="s">
        <v>1667</v>
      </c>
      <c r="D221" s="567">
        <v>4092</v>
      </c>
      <c r="E221" s="567">
        <v>8</v>
      </c>
      <c r="F221" s="567">
        <v>17</v>
      </c>
      <c r="G221" s="567">
        <v>235</v>
      </c>
      <c r="H221" s="567">
        <v>2160</v>
      </c>
      <c r="O221" s="568" t="s">
        <v>466</v>
      </c>
      <c r="P221" s="22">
        <f t="shared" si="9"/>
        <v>3</v>
      </c>
      <c r="Q221" s="22">
        <f t="shared" si="10"/>
        <v>673</v>
      </c>
      <c r="R221" s="22">
        <f t="shared" si="11"/>
        <v>675</v>
      </c>
    </row>
    <row r="222" spans="1:18" x14ac:dyDescent="0.2">
      <c r="A222" s="567">
        <v>1490</v>
      </c>
      <c r="B222" s="568" t="s">
        <v>1650</v>
      </c>
      <c r="C222" s="568" t="s">
        <v>1668</v>
      </c>
      <c r="D222" s="567">
        <v>4093</v>
      </c>
      <c r="E222" s="567">
        <v>8</v>
      </c>
      <c r="F222" s="567">
        <v>17</v>
      </c>
      <c r="G222" s="567">
        <v>235</v>
      </c>
      <c r="H222" s="567">
        <v>2160</v>
      </c>
      <c r="O222" s="568" t="s">
        <v>2640</v>
      </c>
      <c r="P222" s="22">
        <f t="shared" si="9"/>
        <v>1</v>
      </c>
      <c r="Q222" s="22">
        <f t="shared" si="10"/>
        <v>676</v>
      </c>
      <c r="R222" s="22">
        <f t="shared" si="11"/>
        <v>676</v>
      </c>
    </row>
    <row r="223" spans="1:18" x14ac:dyDescent="0.2">
      <c r="A223" s="567">
        <v>1491</v>
      </c>
      <c r="B223" s="568" t="s">
        <v>1650</v>
      </c>
      <c r="C223" s="568" t="s">
        <v>1669</v>
      </c>
      <c r="D223" s="567">
        <v>4094</v>
      </c>
      <c r="E223" s="567">
        <v>8</v>
      </c>
      <c r="F223" s="567">
        <v>17</v>
      </c>
      <c r="G223" s="567">
        <v>235</v>
      </c>
      <c r="H223" s="567">
        <v>2160</v>
      </c>
      <c r="O223" s="568" t="s">
        <v>2384</v>
      </c>
      <c r="P223" s="22">
        <f t="shared" si="9"/>
        <v>7</v>
      </c>
      <c r="Q223" s="22">
        <f t="shared" si="10"/>
        <v>677</v>
      </c>
      <c r="R223" s="22">
        <f t="shared" si="11"/>
        <v>683</v>
      </c>
    </row>
    <row r="224" spans="1:18" x14ac:dyDescent="0.2">
      <c r="A224" s="567">
        <v>98</v>
      </c>
      <c r="B224" s="568" t="s">
        <v>271</v>
      </c>
      <c r="C224" s="568" t="s">
        <v>270</v>
      </c>
      <c r="D224" s="567">
        <v>154</v>
      </c>
      <c r="E224" s="567">
        <v>7</v>
      </c>
      <c r="F224" s="567">
        <v>21</v>
      </c>
      <c r="G224" s="567">
        <v>128</v>
      </c>
      <c r="H224" s="567">
        <v>1121</v>
      </c>
      <c r="O224" s="568" t="s">
        <v>3218</v>
      </c>
      <c r="P224" s="22">
        <f t="shared" si="9"/>
        <v>5</v>
      </c>
      <c r="Q224" s="22">
        <f t="shared" si="10"/>
        <v>684</v>
      </c>
      <c r="R224" s="22">
        <f t="shared" si="11"/>
        <v>688</v>
      </c>
    </row>
    <row r="225" spans="1:18" x14ac:dyDescent="0.2">
      <c r="A225" s="567">
        <v>99</v>
      </c>
      <c r="B225" s="568" t="s">
        <v>271</v>
      </c>
      <c r="C225" s="568" t="s">
        <v>300</v>
      </c>
      <c r="D225" s="567">
        <v>155</v>
      </c>
      <c r="E225" s="567">
        <v>7</v>
      </c>
      <c r="F225" s="567">
        <v>21</v>
      </c>
      <c r="G225" s="567">
        <v>128</v>
      </c>
      <c r="H225" s="567">
        <v>1121</v>
      </c>
      <c r="O225" s="568" t="s">
        <v>1188</v>
      </c>
      <c r="P225" s="22">
        <f t="shared" si="9"/>
        <v>3</v>
      </c>
      <c r="Q225" s="22">
        <f t="shared" si="10"/>
        <v>689</v>
      </c>
      <c r="R225" s="22">
        <f t="shared" si="11"/>
        <v>691</v>
      </c>
    </row>
    <row r="226" spans="1:18" x14ac:dyDescent="0.2">
      <c r="A226" s="567">
        <v>94</v>
      </c>
      <c r="B226" s="568" t="s">
        <v>271</v>
      </c>
      <c r="C226" s="568" t="s">
        <v>338</v>
      </c>
      <c r="D226" s="567">
        <v>150</v>
      </c>
      <c r="E226" s="567">
        <v>7</v>
      </c>
      <c r="F226" s="567">
        <v>21</v>
      </c>
      <c r="G226" s="567">
        <v>128</v>
      </c>
      <c r="H226" s="567">
        <v>1121</v>
      </c>
      <c r="O226" s="568" t="s">
        <v>895</v>
      </c>
      <c r="P226" s="22">
        <f t="shared" si="9"/>
        <v>4</v>
      </c>
      <c r="Q226" s="22">
        <f t="shared" si="10"/>
        <v>692</v>
      </c>
      <c r="R226" s="22">
        <f t="shared" si="11"/>
        <v>695</v>
      </c>
    </row>
    <row r="227" spans="1:18" x14ac:dyDescent="0.2">
      <c r="A227" s="567">
        <v>95</v>
      </c>
      <c r="B227" s="568" t="s">
        <v>271</v>
      </c>
      <c r="C227" s="568" t="s">
        <v>339</v>
      </c>
      <c r="D227" s="567">
        <v>151</v>
      </c>
      <c r="E227" s="567">
        <v>7</v>
      </c>
      <c r="F227" s="567">
        <v>21</v>
      </c>
      <c r="G227" s="567">
        <v>128</v>
      </c>
      <c r="H227" s="567">
        <v>1121</v>
      </c>
      <c r="O227" s="568" t="s">
        <v>1360</v>
      </c>
      <c r="P227" s="22">
        <f t="shared" si="9"/>
        <v>1</v>
      </c>
      <c r="Q227" s="22">
        <f t="shared" si="10"/>
        <v>696</v>
      </c>
      <c r="R227" s="22">
        <f t="shared" si="11"/>
        <v>696</v>
      </c>
    </row>
    <row r="228" spans="1:18" x14ac:dyDescent="0.2">
      <c r="A228" s="567">
        <v>96</v>
      </c>
      <c r="B228" s="568" t="s">
        <v>271</v>
      </c>
      <c r="C228" s="568" t="s">
        <v>340</v>
      </c>
      <c r="D228" s="567">
        <v>152</v>
      </c>
      <c r="E228" s="567">
        <v>7</v>
      </c>
      <c r="F228" s="567">
        <v>21</v>
      </c>
      <c r="G228" s="567">
        <v>128</v>
      </c>
      <c r="H228" s="567">
        <v>1121</v>
      </c>
      <c r="O228" s="568" t="s">
        <v>2621</v>
      </c>
      <c r="P228" s="22">
        <f t="shared" si="9"/>
        <v>1</v>
      </c>
      <c r="Q228" s="22">
        <f t="shared" si="10"/>
        <v>697</v>
      </c>
      <c r="R228" s="22">
        <f t="shared" si="11"/>
        <v>697</v>
      </c>
    </row>
    <row r="229" spans="1:18" x14ac:dyDescent="0.2">
      <c r="A229" s="567">
        <v>97</v>
      </c>
      <c r="B229" s="568" t="s">
        <v>271</v>
      </c>
      <c r="C229" s="568" t="s">
        <v>341</v>
      </c>
      <c r="D229" s="567">
        <v>153</v>
      </c>
      <c r="E229" s="567">
        <v>7</v>
      </c>
      <c r="F229" s="567">
        <v>21</v>
      </c>
      <c r="G229" s="567">
        <v>128</v>
      </c>
      <c r="H229" s="567">
        <v>1121</v>
      </c>
      <c r="O229" s="568" t="s">
        <v>448</v>
      </c>
      <c r="P229" s="22">
        <f t="shared" si="9"/>
        <v>1</v>
      </c>
      <c r="Q229" s="22">
        <f t="shared" si="10"/>
        <v>698</v>
      </c>
      <c r="R229" s="22">
        <f t="shared" si="11"/>
        <v>698</v>
      </c>
    </row>
    <row r="230" spans="1:18" x14ac:dyDescent="0.2">
      <c r="A230" s="567">
        <v>100</v>
      </c>
      <c r="B230" s="568" t="s">
        <v>271</v>
      </c>
      <c r="C230" s="568" t="s">
        <v>376</v>
      </c>
      <c r="D230" s="567">
        <v>156</v>
      </c>
      <c r="E230" s="567">
        <v>7</v>
      </c>
      <c r="F230" s="567">
        <v>21</v>
      </c>
      <c r="G230" s="567">
        <v>128</v>
      </c>
      <c r="H230" s="567">
        <v>1121</v>
      </c>
      <c r="O230" s="568" t="s">
        <v>2365</v>
      </c>
      <c r="P230" s="22">
        <f t="shared" si="9"/>
        <v>3</v>
      </c>
      <c r="Q230" s="22">
        <f t="shared" si="10"/>
        <v>699</v>
      </c>
      <c r="R230" s="22">
        <f t="shared" si="11"/>
        <v>701</v>
      </c>
    </row>
    <row r="231" spans="1:18" x14ac:dyDescent="0.2">
      <c r="A231" s="567">
        <v>107</v>
      </c>
      <c r="B231" s="568" t="s">
        <v>271</v>
      </c>
      <c r="C231" s="568" t="s">
        <v>398</v>
      </c>
      <c r="D231" s="567">
        <v>163</v>
      </c>
      <c r="E231" s="567">
        <v>7</v>
      </c>
      <c r="F231" s="567">
        <v>21</v>
      </c>
      <c r="G231" s="567">
        <v>128</v>
      </c>
      <c r="H231" s="567">
        <v>1121</v>
      </c>
      <c r="O231" s="568" t="s">
        <v>2241</v>
      </c>
      <c r="P231" s="22">
        <f t="shared" si="9"/>
        <v>2</v>
      </c>
      <c r="Q231" s="22">
        <f t="shared" si="10"/>
        <v>702</v>
      </c>
      <c r="R231" s="22">
        <f t="shared" si="11"/>
        <v>703</v>
      </c>
    </row>
    <row r="232" spans="1:18" x14ac:dyDescent="0.2">
      <c r="A232" s="567">
        <v>106</v>
      </c>
      <c r="B232" s="568" t="s">
        <v>271</v>
      </c>
      <c r="C232" s="568" t="s">
        <v>399</v>
      </c>
      <c r="D232" s="567">
        <v>162</v>
      </c>
      <c r="E232" s="567">
        <v>7</v>
      </c>
      <c r="F232" s="567">
        <v>21</v>
      </c>
      <c r="G232" s="567">
        <v>128</v>
      </c>
      <c r="H232" s="567">
        <v>1121</v>
      </c>
      <c r="O232" s="568" t="s">
        <v>2454</v>
      </c>
      <c r="P232" s="22">
        <f t="shared" si="9"/>
        <v>1</v>
      </c>
      <c r="Q232" s="22">
        <f t="shared" si="10"/>
        <v>704</v>
      </c>
      <c r="R232" s="22">
        <f t="shared" si="11"/>
        <v>704</v>
      </c>
    </row>
    <row r="233" spans="1:18" x14ac:dyDescent="0.2">
      <c r="A233" s="567">
        <v>105</v>
      </c>
      <c r="B233" s="568" t="s">
        <v>271</v>
      </c>
      <c r="C233" s="568" t="s">
        <v>400</v>
      </c>
      <c r="D233" s="567">
        <v>161</v>
      </c>
      <c r="E233" s="567">
        <v>7</v>
      </c>
      <c r="F233" s="567">
        <v>21</v>
      </c>
      <c r="G233" s="567">
        <v>128</v>
      </c>
      <c r="H233" s="567">
        <v>1121</v>
      </c>
      <c r="O233" s="568" t="s">
        <v>2457</v>
      </c>
      <c r="P233" s="22">
        <f t="shared" si="9"/>
        <v>1</v>
      </c>
      <c r="Q233" s="22">
        <f t="shared" si="10"/>
        <v>705</v>
      </c>
      <c r="R233" s="22">
        <f t="shared" si="11"/>
        <v>705</v>
      </c>
    </row>
    <row r="234" spans="1:18" x14ac:dyDescent="0.2">
      <c r="A234" s="567">
        <v>104</v>
      </c>
      <c r="B234" s="568" t="s">
        <v>271</v>
      </c>
      <c r="C234" s="568" t="s">
        <v>401</v>
      </c>
      <c r="D234" s="567">
        <v>160</v>
      </c>
      <c r="E234" s="567">
        <v>7</v>
      </c>
      <c r="F234" s="567">
        <v>21</v>
      </c>
      <c r="G234" s="567">
        <v>128</v>
      </c>
      <c r="H234" s="567">
        <v>1121</v>
      </c>
      <c r="O234" s="568" t="s">
        <v>65</v>
      </c>
      <c r="P234" s="22">
        <f t="shared" si="9"/>
        <v>1</v>
      </c>
      <c r="Q234" s="22">
        <f t="shared" si="10"/>
        <v>706</v>
      </c>
      <c r="R234" s="22">
        <f t="shared" si="11"/>
        <v>706</v>
      </c>
    </row>
    <row r="235" spans="1:18" x14ac:dyDescent="0.2">
      <c r="A235" s="567">
        <v>102</v>
      </c>
      <c r="B235" s="568" t="s">
        <v>271</v>
      </c>
      <c r="C235" s="568" t="s">
        <v>402</v>
      </c>
      <c r="D235" s="567">
        <v>158</v>
      </c>
      <c r="E235" s="567">
        <v>7</v>
      </c>
      <c r="F235" s="567">
        <v>21</v>
      </c>
      <c r="G235" s="567">
        <v>128</v>
      </c>
      <c r="H235" s="567">
        <v>1121</v>
      </c>
      <c r="O235" s="568" t="s">
        <v>2708</v>
      </c>
      <c r="P235" s="22">
        <f t="shared" si="9"/>
        <v>3</v>
      </c>
      <c r="Q235" s="22">
        <f t="shared" si="10"/>
        <v>707</v>
      </c>
      <c r="R235" s="22">
        <f t="shared" si="11"/>
        <v>709</v>
      </c>
    </row>
    <row r="236" spans="1:18" x14ac:dyDescent="0.2">
      <c r="A236" s="567">
        <v>101</v>
      </c>
      <c r="B236" s="568" t="s">
        <v>271</v>
      </c>
      <c r="C236" s="568" t="s">
        <v>403</v>
      </c>
      <c r="D236" s="567">
        <v>157</v>
      </c>
      <c r="E236" s="567">
        <v>7</v>
      </c>
      <c r="F236" s="567">
        <v>21</v>
      </c>
      <c r="G236" s="567">
        <v>128</v>
      </c>
      <c r="H236" s="567">
        <v>1121</v>
      </c>
      <c r="O236" s="568" t="s">
        <v>1131</v>
      </c>
      <c r="P236" s="22">
        <f t="shared" si="9"/>
        <v>2</v>
      </c>
      <c r="Q236" s="22">
        <f t="shared" si="10"/>
        <v>710</v>
      </c>
      <c r="R236" s="22">
        <f t="shared" si="11"/>
        <v>711</v>
      </c>
    </row>
    <row r="237" spans="1:18" x14ac:dyDescent="0.2">
      <c r="A237" s="567">
        <v>103</v>
      </c>
      <c r="B237" s="568" t="s">
        <v>271</v>
      </c>
      <c r="C237" s="568" t="s">
        <v>408</v>
      </c>
      <c r="D237" s="567">
        <v>159</v>
      </c>
      <c r="E237" s="567">
        <v>7</v>
      </c>
      <c r="F237" s="567">
        <v>21</v>
      </c>
      <c r="G237" s="567">
        <v>128</v>
      </c>
      <c r="H237" s="567">
        <v>1121</v>
      </c>
      <c r="O237" s="568" t="s">
        <v>425</v>
      </c>
      <c r="P237" s="22">
        <f t="shared" si="9"/>
        <v>2</v>
      </c>
      <c r="Q237" s="22">
        <f t="shared" si="10"/>
        <v>712</v>
      </c>
      <c r="R237" s="22">
        <f t="shared" si="11"/>
        <v>713</v>
      </c>
    </row>
    <row r="238" spans="1:18" x14ac:dyDescent="0.2">
      <c r="A238" s="567">
        <v>1746</v>
      </c>
      <c r="B238" s="568" t="s">
        <v>2147</v>
      </c>
      <c r="C238" s="568" t="s">
        <v>2146</v>
      </c>
      <c r="D238" s="567">
        <v>4771</v>
      </c>
      <c r="E238" s="567">
        <v>8</v>
      </c>
      <c r="F238" s="567">
        <v>6</v>
      </c>
      <c r="G238" s="567">
        <v>317</v>
      </c>
      <c r="H238" s="567">
        <v>3140</v>
      </c>
      <c r="O238" s="568" t="s">
        <v>2999</v>
      </c>
      <c r="P238" s="22">
        <f t="shared" si="9"/>
        <v>1</v>
      </c>
      <c r="Q238" s="22">
        <f t="shared" si="10"/>
        <v>714</v>
      </c>
      <c r="R238" s="22">
        <f t="shared" si="11"/>
        <v>714</v>
      </c>
    </row>
    <row r="239" spans="1:18" x14ac:dyDescent="0.2">
      <c r="A239" s="567">
        <v>1745</v>
      </c>
      <c r="B239" s="568" t="s">
        <v>2147</v>
      </c>
      <c r="C239" s="568" t="s">
        <v>2155</v>
      </c>
      <c r="D239" s="567">
        <v>4770</v>
      </c>
      <c r="E239" s="567">
        <v>8</v>
      </c>
      <c r="F239" s="567">
        <v>6</v>
      </c>
      <c r="G239" s="567">
        <v>317</v>
      </c>
      <c r="H239" s="567">
        <v>3140</v>
      </c>
      <c r="O239" s="568" t="s">
        <v>2846</v>
      </c>
      <c r="P239" s="22">
        <f t="shared" si="9"/>
        <v>1</v>
      </c>
      <c r="Q239" s="22">
        <f t="shared" si="10"/>
        <v>715</v>
      </c>
      <c r="R239" s="22">
        <f t="shared" si="11"/>
        <v>715</v>
      </c>
    </row>
    <row r="240" spans="1:18" x14ac:dyDescent="0.2">
      <c r="A240" s="567">
        <v>390</v>
      </c>
      <c r="B240" s="568" t="s">
        <v>533</v>
      </c>
      <c r="C240" s="568" t="s">
        <v>532</v>
      </c>
      <c r="D240" s="567">
        <v>705</v>
      </c>
      <c r="E240" s="567">
        <v>6</v>
      </c>
      <c r="F240" s="567">
        <v>1</v>
      </c>
      <c r="G240" s="567">
        <v>125</v>
      </c>
      <c r="H240" s="567">
        <v>1150</v>
      </c>
      <c r="O240" s="568" t="s">
        <v>900</v>
      </c>
      <c r="P240" s="22">
        <f t="shared" si="9"/>
        <v>6</v>
      </c>
      <c r="Q240" s="22">
        <f t="shared" si="10"/>
        <v>716</v>
      </c>
      <c r="R240" s="22">
        <f t="shared" si="11"/>
        <v>721</v>
      </c>
    </row>
    <row r="241" spans="1:18" x14ac:dyDescent="0.2">
      <c r="A241" s="567">
        <v>385</v>
      </c>
      <c r="B241" s="568" t="s">
        <v>533</v>
      </c>
      <c r="C241" s="568" t="s">
        <v>545</v>
      </c>
      <c r="D241" s="567">
        <v>700</v>
      </c>
      <c r="E241" s="567">
        <v>6</v>
      </c>
      <c r="F241" s="567">
        <v>1</v>
      </c>
      <c r="G241" s="567">
        <v>125</v>
      </c>
      <c r="H241" s="567">
        <v>1150</v>
      </c>
      <c r="O241" s="568" t="s">
        <v>727</v>
      </c>
      <c r="P241" s="22">
        <f t="shared" si="9"/>
        <v>3</v>
      </c>
      <c r="Q241" s="22">
        <f t="shared" si="10"/>
        <v>722</v>
      </c>
      <c r="R241" s="22">
        <f t="shared" si="11"/>
        <v>724</v>
      </c>
    </row>
    <row r="242" spans="1:18" x14ac:dyDescent="0.2">
      <c r="A242" s="567">
        <v>386</v>
      </c>
      <c r="B242" s="568" t="s">
        <v>533</v>
      </c>
      <c r="C242" s="568" t="s">
        <v>546</v>
      </c>
      <c r="D242" s="567">
        <v>701</v>
      </c>
      <c r="E242" s="567">
        <v>6</v>
      </c>
      <c r="F242" s="567">
        <v>1</v>
      </c>
      <c r="G242" s="567">
        <v>125</v>
      </c>
      <c r="H242" s="567">
        <v>1150</v>
      </c>
      <c r="O242" s="568" t="s">
        <v>2731</v>
      </c>
      <c r="P242" s="22">
        <f t="shared" si="9"/>
        <v>4</v>
      </c>
      <c r="Q242" s="22">
        <f t="shared" si="10"/>
        <v>725</v>
      </c>
      <c r="R242" s="22">
        <f t="shared" si="11"/>
        <v>728</v>
      </c>
    </row>
    <row r="243" spans="1:18" x14ac:dyDescent="0.2">
      <c r="A243" s="567">
        <v>387</v>
      </c>
      <c r="B243" s="568" t="s">
        <v>533</v>
      </c>
      <c r="C243" s="568" t="s">
        <v>547</v>
      </c>
      <c r="D243" s="567">
        <v>702</v>
      </c>
      <c r="E243" s="567">
        <v>6</v>
      </c>
      <c r="F243" s="567">
        <v>1</v>
      </c>
      <c r="G243" s="567">
        <v>125</v>
      </c>
      <c r="H243" s="567">
        <v>1150</v>
      </c>
      <c r="O243" s="568" t="s">
        <v>411</v>
      </c>
      <c r="P243" s="22">
        <f t="shared" si="9"/>
        <v>4</v>
      </c>
      <c r="Q243" s="22">
        <f t="shared" si="10"/>
        <v>729</v>
      </c>
      <c r="R243" s="22">
        <f t="shared" si="11"/>
        <v>732</v>
      </c>
    </row>
    <row r="244" spans="1:18" x14ac:dyDescent="0.2">
      <c r="A244" s="567">
        <v>389</v>
      </c>
      <c r="B244" s="568" t="s">
        <v>533</v>
      </c>
      <c r="C244" s="568" t="s">
        <v>550</v>
      </c>
      <c r="D244" s="567">
        <v>704</v>
      </c>
      <c r="E244" s="567">
        <v>6</v>
      </c>
      <c r="F244" s="567">
        <v>1</v>
      </c>
      <c r="G244" s="567">
        <v>125</v>
      </c>
      <c r="H244" s="567">
        <v>1150</v>
      </c>
      <c r="O244" s="568" t="s">
        <v>2854</v>
      </c>
      <c r="P244" s="22">
        <f t="shared" si="9"/>
        <v>2</v>
      </c>
      <c r="Q244" s="22">
        <f t="shared" si="10"/>
        <v>733</v>
      </c>
      <c r="R244" s="22">
        <f t="shared" si="11"/>
        <v>734</v>
      </c>
    </row>
    <row r="245" spans="1:18" x14ac:dyDescent="0.2">
      <c r="A245" s="567">
        <v>391</v>
      </c>
      <c r="B245" s="568" t="s">
        <v>533</v>
      </c>
      <c r="C245" s="568" t="s">
        <v>552</v>
      </c>
      <c r="D245" s="567">
        <v>706</v>
      </c>
      <c r="E245" s="567">
        <v>6</v>
      </c>
      <c r="F245" s="567">
        <v>1</v>
      </c>
      <c r="G245" s="567">
        <v>125</v>
      </c>
      <c r="H245" s="567">
        <v>1150</v>
      </c>
      <c r="O245" s="568" t="s">
        <v>643</v>
      </c>
      <c r="P245" s="22">
        <f t="shared" si="9"/>
        <v>2</v>
      </c>
      <c r="Q245" s="22">
        <f t="shared" si="10"/>
        <v>735</v>
      </c>
      <c r="R245" s="22">
        <f t="shared" si="11"/>
        <v>736</v>
      </c>
    </row>
    <row r="246" spans="1:18" x14ac:dyDescent="0.2">
      <c r="A246" s="567">
        <v>392</v>
      </c>
      <c r="B246" s="568" t="s">
        <v>533</v>
      </c>
      <c r="C246" s="568" t="s">
        <v>553</v>
      </c>
      <c r="D246" s="567">
        <v>707</v>
      </c>
      <c r="E246" s="567">
        <v>6</v>
      </c>
      <c r="F246" s="567">
        <v>1</v>
      </c>
      <c r="G246" s="567">
        <v>125</v>
      </c>
      <c r="H246" s="567">
        <v>1150</v>
      </c>
      <c r="O246" s="568" t="s">
        <v>1701</v>
      </c>
      <c r="P246" s="22">
        <f t="shared" si="9"/>
        <v>4</v>
      </c>
      <c r="Q246" s="22">
        <f t="shared" si="10"/>
        <v>737</v>
      </c>
      <c r="R246" s="22">
        <f t="shared" si="11"/>
        <v>740</v>
      </c>
    </row>
    <row r="247" spans="1:18" x14ac:dyDescent="0.2">
      <c r="A247" s="567">
        <v>393</v>
      </c>
      <c r="B247" s="568" t="s">
        <v>533</v>
      </c>
      <c r="C247" s="568" t="s">
        <v>554</v>
      </c>
      <c r="D247" s="567">
        <v>708</v>
      </c>
      <c r="E247" s="567">
        <v>6</v>
      </c>
      <c r="F247" s="567">
        <v>1</v>
      </c>
      <c r="G247" s="567">
        <v>125</v>
      </c>
      <c r="H247" s="567">
        <v>1150</v>
      </c>
      <c r="O247" s="568" t="s">
        <v>1940</v>
      </c>
      <c r="P247" s="22">
        <f t="shared" si="9"/>
        <v>1</v>
      </c>
      <c r="Q247" s="22">
        <f t="shared" si="10"/>
        <v>741</v>
      </c>
      <c r="R247" s="22">
        <f t="shared" si="11"/>
        <v>741</v>
      </c>
    </row>
    <row r="248" spans="1:18" x14ac:dyDescent="0.2">
      <c r="A248" s="567">
        <v>388</v>
      </c>
      <c r="B248" s="568" t="s">
        <v>533</v>
      </c>
      <c r="C248" s="568" t="s">
        <v>564</v>
      </c>
      <c r="D248" s="567">
        <v>703</v>
      </c>
      <c r="E248" s="567">
        <v>6</v>
      </c>
      <c r="F248" s="567">
        <v>1</v>
      </c>
      <c r="G248" s="567">
        <v>125</v>
      </c>
      <c r="H248" s="567">
        <v>1150</v>
      </c>
      <c r="O248" s="568" t="s">
        <v>1359</v>
      </c>
      <c r="P248" s="22">
        <f t="shared" si="9"/>
        <v>2</v>
      </c>
      <c r="Q248" s="22">
        <f t="shared" si="10"/>
        <v>742</v>
      </c>
      <c r="R248" s="22">
        <f t="shared" si="11"/>
        <v>743</v>
      </c>
    </row>
    <row r="249" spans="1:18" x14ac:dyDescent="0.2">
      <c r="A249" s="567">
        <v>1594</v>
      </c>
      <c r="B249" s="568" t="s">
        <v>1212</v>
      </c>
      <c r="C249" s="568" t="s">
        <v>1211</v>
      </c>
      <c r="D249" s="567">
        <v>4376</v>
      </c>
      <c r="E249" s="567">
        <v>75</v>
      </c>
      <c r="F249" s="567">
        <v>6</v>
      </c>
      <c r="G249" s="567">
        <v>237</v>
      </c>
      <c r="H249" s="567">
        <v>2110</v>
      </c>
      <c r="O249" s="568" t="s">
        <v>2010</v>
      </c>
      <c r="P249" s="22">
        <f t="shared" si="9"/>
        <v>9</v>
      </c>
      <c r="Q249" s="22">
        <f t="shared" si="10"/>
        <v>744</v>
      </c>
      <c r="R249" s="22">
        <f t="shared" si="11"/>
        <v>752</v>
      </c>
    </row>
    <row r="250" spans="1:18" x14ac:dyDescent="0.2">
      <c r="A250" s="567">
        <v>1593</v>
      </c>
      <c r="B250" s="568" t="s">
        <v>1212</v>
      </c>
      <c r="C250" s="568" t="s">
        <v>1213</v>
      </c>
      <c r="D250" s="567">
        <v>4375</v>
      </c>
      <c r="E250" s="567">
        <v>75</v>
      </c>
      <c r="F250" s="567">
        <v>6</v>
      </c>
      <c r="G250" s="567">
        <v>237</v>
      </c>
      <c r="H250" s="567">
        <v>2110</v>
      </c>
      <c r="O250" s="568" t="s">
        <v>1709</v>
      </c>
      <c r="P250" s="22">
        <f t="shared" si="9"/>
        <v>1</v>
      </c>
      <c r="Q250" s="22">
        <f t="shared" si="10"/>
        <v>753</v>
      </c>
      <c r="R250" s="22">
        <f t="shared" si="11"/>
        <v>753</v>
      </c>
    </row>
    <row r="251" spans="1:18" x14ac:dyDescent="0.2">
      <c r="A251" s="567">
        <v>2458</v>
      </c>
      <c r="B251" s="568" t="s">
        <v>2506</v>
      </c>
      <c r="C251" s="568" t="s">
        <v>2505</v>
      </c>
      <c r="D251" s="567">
        <v>7040</v>
      </c>
      <c r="E251" s="567">
        <v>96</v>
      </c>
      <c r="F251" s="567">
        <v>3</v>
      </c>
      <c r="G251" s="567">
        <v>337</v>
      </c>
      <c r="H251" s="567">
        <v>3180</v>
      </c>
      <c r="O251" s="568" t="s">
        <v>2445</v>
      </c>
      <c r="P251" s="22">
        <f t="shared" si="9"/>
        <v>1</v>
      </c>
      <c r="Q251" s="22">
        <f t="shared" si="10"/>
        <v>754</v>
      </c>
      <c r="R251" s="22">
        <f t="shared" si="11"/>
        <v>754</v>
      </c>
    </row>
    <row r="252" spans="1:18" x14ac:dyDescent="0.2">
      <c r="A252" s="567">
        <v>2459</v>
      </c>
      <c r="B252" s="568" t="s">
        <v>2506</v>
      </c>
      <c r="C252" s="568" t="s">
        <v>2507</v>
      </c>
      <c r="D252" s="567">
        <v>7041</v>
      </c>
      <c r="E252" s="567">
        <v>96</v>
      </c>
      <c r="F252" s="567">
        <v>3</v>
      </c>
      <c r="G252" s="567">
        <v>337</v>
      </c>
      <c r="H252" s="567">
        <v>3180</v>
      </c>
      <c r="O252" s="568" t="s">
        <v>1271</v>
      </c>
      <c r="P252" s="22">
        <f t="shared" si="9"/>
        <v>2</v>
      </c>
      <c r="Q252" s="22">
        <f t="shared" si="10"/>
        <v>755</v>
      </c>
      <c r="R252" s="22">
        <f t="shared" si="11"/>
        <v>756</v>
      </c>
    </row>
    <row r="253" spans="1:18" x14ac:dyDescent="0.2">
      <c r="A253" s="567">
        <v>2460</v>
      </c>
      <c r="B253" s="568" t="s">
        <v>2506</v>
      </c>
      <c r="C253" s="568" t="s">
        <v>2508</v>
      </c>
      <c r="D253" s="567">
        <v>7042</v>
      </c>
      <c r="E253" s="567">
        <v>96</v>
      </c>
      <c r="F253" s="567">
        <v>3</v>
      </c>
      <c r="G253" s="567">
        <v>337</v>
      </c>
      <c r="H253" s="567">
        <v>3180</v>
      </c>
      <c r="O253" s="568" t="s">
        <v>2490</v>
      </c>
      <c r="P253" s="22">
        <f t="shared" si="9"/>
        <v>1</v>
      </c>
      <c r="Q253" s="22">
        <f t="shared" si="10"/>
        <v>757</v>
      </c>
      <c r="R253" s="22">
        <f t="shared" si="11"/>
        <v>757</v>
      </c>
    </row>
    <row r="254" spans="1:18" x14ac:dyDescent="0.2">
      <c r="A254" s="567">
        <v>2461</v>
      </c>
      <c r="B254" s="568" t="s">
        <v>2506</v>
      </c>
      <c r="C254" s="568" t="s">
        <v>2518</v>
      </c>
      <c r="D254" s="567">
        <v>7043</v>
      </c>
      <c r="E254" s="567">
        <v>96</v>
      </c>
      <c r="F254" s="567">
        <v>3</v>
      </c>
      <c r="G254" s="567">
        <v>337</v>
      </c>
      <c r="H254" s="567">
        <v>3180</v>
      </c>
      <c r="O254" s="568" t="s">
        <v>3178</v>
      </c>
      <c r="P254" s="22">
        <f t="shared" si="9"/>
        <v>18</v>
      </c>
      <c r="Q254" s="22">
        <f t="shared" si="10"/>
        <v>758</v>
      </c>
      <c r="R254" s="22">
        <f t="shared" si="11"/>
        <v>775</v>
      </c>
    </row>
    <row r="255" spans="1:18" x14ac:dyDescent="0.2">
      <c r="A255" s="567">
        <v>1246</v>
      </c>
      <c r="B255" s="568" t="s">
        <v>1273</v>
      </c>
      <c r="C255" s="568" t="s">
        <v>1272</v>
      </c>
      <c r="D255" s="567">
        <v>3370</v>
      </c>
      <c r="E255" s="567">
        <v>100</v>
      </c>
      <c r="F255" s="567">
        <v>3</v>
      </c>
      <c r="G255" s="567">
        <v>215</v>
      </c>
      <c r="H255" s="567">
        <v>2121</v>
      </c>
      <c r="O255" s="568" t="s">
        <v>665</v>
      </c>
      <c r="P255" s="22">
        <f t="shared" si="9"/>
        <v>1</v>
      </c>
      <c r="Q255" s="22">
        <f t="shared" si="10"/>
        <v>776</v>
      </c>
      <c r="R255" s="22">
        <f t="shared" si="11"/>
        <v>776</v>
      </c>
    </row>
    <row r="256" spans="1:18" x14ac:dyDescent="0.2">
      <c r="A256" s="567">
        <v>1247</v>
      </c>
      <c r="B256" s="568" t="s">
        <v>1273</v>
      </c>
      <c r="C256" s="568" t="s">
        <v>1306</v>
      </c>
      <c r="D256" s="567">
        <v>3371</v>
      </c>
      <c r="E256" s="567">
        <v>100</v>
      </c>
      <c r="F256" s="567">
        <v>3</v>
      </c>
      <c r="G256" s="567">
        <v>215</v>
      </c>
      <c r="H256" s="567">
        <v>2121</v>
      </c>
      <c r="O256" s="568" t="s">
        <v>1901</v>
      </c>
      <c r="P256" s="22">
        <f t="shared" si="9"/>
        <v>5</v>
      </c>
      <c r="Q256" s="22">
        <f t="shared" si="10"/>
        <v>777</v>
      </c>
      <c r="R256" s="22">
        <f t="shared" si="11"/>
        <v>781</v>
      </c>
    </row>
    <row r="257" spans="1:18" x14ac:dyDescent="0.2">
      <c r="A257" s="567">
        <v>3095</v>
      </c>
      <c r="B257" s="568" t="s">
        <v>2758</v>
      </c>
      <c r="C257" s="568" t="s">
        <v>2757</v>
      </c>
      <c r="D257" s="567">
        <v>8960</v>
      </c>
      <c r="E257" s="567">
        <v>14</v>
      </c>
      <c r="F257" s="567">
        <v>11</v>
      </c>
      <c r="G257" s="567">
        <v>426</v>
      </c>
      <c r="H257" s="567">
        <v>4110</v>
      </c>
      <c r="O257" s="568" t="s">
        <v>2849</v>
      </c>
      <c r="P257" s="22">
        <f t="shared" si="9"/>
        <v>1</v>
      </c>
      <c r="Q257" s="22">
        <f t="shared" si="10"/>
        <v>782</v>
      </c>
      <c r="R257" s="22">
        <f t="shared" si="11"/>
        <v>782</v>
      </c>
    </row>
    <row r="258" spans="1:18" x14ac:dyDescent="0.2">
      <c r="A258" s="567">
        <v>3096</v>
      </c>
      <c r="B258" s="568" t="s">
        <v>2758</v>
      </c>
      <c r="C258" s="568" t="s">
        <v>2759</v>
      </c>
      <c r="D258" s="567">
        <v>8961</v>
      </c>
      <c r="E258" s="567">
        <v>14</v>
      </c>
      <c r="F258" s="567">
        <v>11</v>
      </c>
      <c r="G258" s="567">
        <v>426</v>
      </c>
      <c r="H258" s="567">
        <v>4110</v>
      </c>
      <c r="O258" s="568" t="s">
        <v>1922</v>
      </c>
      <c r="P258" s="22">
        <f t="shared" si="9"/>
        <v>1</v>
      </c>
      <c r="Q258" s="22">
        <f t="shared" si="10"/>
        <v>783</v>
      </c>
      <c r="R258" s="22">
        <f t="shared" si="11"/>
        <v>783</v>
      </c>
    </row>
    <row r="259" spans="1:18" x14ac:dyDescent="0.2">
      <c r="A259" s="567">
        <v>3097</v>
      </c>
      <c r="B259" s="568" t="s">
        <v>2758</v>
      </c>
      <c r="C259" s="568" t="s">
        <v>167</v>
      </c>
      <c r="D259" s="567">
        <v>8962</v>
      </c>
      <c r="E259" s="567">
        <v>14</v>
      </c>
      <c r="F259" s="567">
        <v>11</v>
      </c>
      <c r="G259" s="567">
        <v>426</v>
      </c>
      <c r="H259" s="567">
        <v>4110</v>
      </c>
      <c r="O259" s="568" t="s">
        <v>2285</v>
      </c>
      <c r="P259" s="22">
        <f t="shared" si="9"/>
        <v>6</v>
      </c>
      <c r="Q259" s="22">
        <f t="shared" si="10"/>
        <v>784</v>
      </c>
      <c r="R259" s="22">
        <f t="shared" si="11"/>
        <v>789</v>
      </c>
    </row>
    <row r="260" spans="1:18" x14ac:dyDescent="0.2">
      <c r="A260" s="567">
        <v>3098</v>
      </c>
      <c r="B260" s="568" t="s">
        <v>2758</v>
      </c>
      <c r="C260" s="568" t="s">
        <v>2760</v>
      </c>
      <c r="D260" s="567">
        <v>8963</v>
      </c>
      <c r="E260" s="567">
        <v>14</v>
      </c>
      <c r="F260" s="567">
        <v>11</v>
      </c>
      <c r="G260" s="567">
        <v>426</v>
      </c>
      <c r="H260" s="567">
        <v>4110</v>
      </c>
      <c r="O260" s="568" t="s">
        <v>2057</v>
      </c>
      <c r="P260" s="22">
        <f t="shared" si="9"/>
        <v>1</v>
      </c>
      <c r="Q260" s="22">
        <f t="shared" si="10"/>
        <v>790</v>
      </c>
      <c r="R260" s="22">
        <f t="shared" si="11"/>
        <v>790</v>
      </c>
    </row>
    <row r="261" spans="1:18" x14ac:dyDescent="0.2">
      <c r="A261" s="567">
        <v>1525</v>
      </c>
      <c r="B261" s="568" t="s">
        <v>1679</v>
      </c>
      <c r="C261" s="568" t="s">
        <v>1678</v>
      </c>
      <c r="D261" s="567">
        <v>4201</v>
      </c>
      <c r="E261" s="567">
        <v>84</v>
      </c>
      <c r="F261" s="567">
        <v>7</v>
      </c>
      <c r="G261" s="567">
        <v>235</v>
      </c>
      <c r="H261" s="567">
        <v>2160</v>
      </c>
      <c r="O261" s="568" t="s">
        <v>1872</v>
      </c>
      <c r="P261" s="22">
        <f t="shared" si="9"/>
        <v>4</v>
      </c>
      <c r="Q261" s="22">
        <f t="shared" si="10"/>
        <v>791</v>
      </c>
      <c r="R261" s="22">
        <f t="shared" si="11"/>
        <v>794</v>
      </c>
    </row>
    <row r="262" spans="1:18" x14ac:dyDescent="0.2">
      <c r="A262" s="567">
        <v>1526</v>
      </c>
      <c r="B262" s="568" t="s">
        <v>1679</v>
      </c>
      <c r="C262" s="568" t="s">
        <v>1680</v>
      </c>
      <c r="D262" s="567">
        <v>4202</v>
      </c>
      <c r="E262" s="567">
        <v>84</v>
      </c>
      <c r="F262" s="567">
        <v>7</v>
      </c>
      <c r="G262" s="567">
        <v>235</v>
      </c>
      <c r="H262" s="567">
        <v>2160</v>
      </c>
      <c r="O262" s="568" t="s">
        <v>1587</v>
      </c>
      <c r="P262" s="22">
        <f t="shared" si="9"/>
        <v>1</v>
      </c>
      <c r="Q262" s="22">
        <f t="shared" si="10"/>
        <v>795</v>
      </c>
      <c r="R262" s="22">
        <f t="shared" si="11"/>
        <v>795</v>
      </c>
    </row>
    <row r="263" spans="1:18" x14ac:dyDescent="0.2">
      <c r="A263" s="567">
        <v>1527</v>
      </c>
      <c r="B263" s="568" t="s">
        <v>1679</v>
      </c>
      <c r="C263" s="568" t="s">
        <v>1681</v>
      </c>
      <c r="D263" s="567">
        <v>4203</v>
      </c>
      <c r="E263" s="567">
        <v>84</v>
      </c>
      <c r="F263" s="567">
        <v>7</v>
      </c>
      <c r="G263" s="567">
        <v>235</v>
      </c>
      <c r="H263" s="567">
        <v>2160</v>
      </c>
      <c r="O263" s="568" t="s">
        <v>463</v>
      </c>
      <c r="P263" s="22">
        <f t="shared" si="9"/>
        <v>1</v>
      </c>
      <c r="Q263" s="22">
        <f t="shared" si="10"/>
        <v>796</v>
      </c>
      <c r="R263" s="22">
        <f t="shared" si="11"/>
        <v>796</v>
      </c>
    </row>
    <row r="264" spans="1:18" x14ac:dyDescent="0.2">
      <c r="A264" s="567">
        <v>1528</v>
      </c>
      <c r="B264" s="568" t="s">
        <v>1679</v>
      </c>
      <c r="C264" s="568" t="s">
        <v>1682</v>
      </c>
      <c r="D264" s="567">
        <v>4204</v>
      </c>
      <c r="E264" s="567">
        <v>84</v>
      </c>
      <c r="F264" s="567">
        <v>7</v>
      </c>
      <c r="G264" s="567">
        <v>235</v>
      </c>
      <c r="H264" s="567">
        <v>2160</v>
      </c>
      <c r="O264" s="568" t="s">
        <v>2066</v>
      </c>
      <c r="P264" s="22">
        <f t="shared" si="9"/>
        <v>1</v>
      </c>
      <c r="Q264" s="22">
        <f t="shared" si="10"/>
        <v>797</v>
      </c>
      <c r="R264" s="22">
        <f t="shared" si="11"/>
        <v>797</v>
      </c>
    </row>
    <row r="265" spans="1:18" x14ac:dyDescent="0.2">
      <c r="A265" s="567">
        <v>1529</v>
      </c>
      <c r="B265" s="568" t="s">
        <v>1679</v>
      </c>
      <c r="C265" s="568" t="s">
        <v>1683</v>
      </c>
      <c r="D265" s="567">
        <v>4205</v>
      </c>
      <c r="E265" s="567">
        <v>84</v>
      </c>
      <c r="F265" s="567">
        <v>7</v>
      </c>
      <c r="G265" s="567">
        <v>235</v>
      </c>
      <c r="H265" s="567">
        <v>2160</v>
      </c>
      <c r="O265" s="568" t="s">
        <v>1101</v>
      </c>
      <c r="P265" s="22">
        <f t="shared" si="9"/>
        <v>2</v>
      </c>
      <c r="Q265" s="22">
        <f t="shared" si="10"/>
        <v>798</v>
      </c>
      <c r="R265" s="22">
        <f t="shared" si="11"/>
        <v>799</v>
      </c>
    </row>
    <row r="266" spans="1:18" x14ac:dyDescent="0.2">
      <c r="A266" s="567">
        <v>1524</v>
      </c>
      <c r="B266" s="568" t="s">
        <v>1679</v>
      </c>
      <c r="C266" s="568" t="s">
        <v>1707</v>
      </c>
      <c r="D266" s="567">
        <v>4200</v>
      </c>
      <c r="E266" s="567">
        <v>84</v>
      </c>
      <c r="F266" s="567">
        <v>7</v>
      </c>
      <c r="G266" s="567">
        <v>235</v>
      </c>
      <c r="H266" s="567">
        <v>2160</v>
      </c>
      <c r="O266" s="568" t="s">
        <v>93</v>
      </c>
      <c r="P266" s="22">
        <f t="shared" si="9"/>
        <v>1</v>
      </c>
      <c r="Q266" s="22">
        <f t="shared" si="10"/>
        <v>800</v>
      </c>
      <c r="R266" s="22">
        <f t="shared" si="11"/>
        <v>800</v>
      </c>
    </row>
    <row r="267" spans="1:18" x14ac:dyDescent="0.2">
      <c r="A267" s="567">
        <v>854</v>
      </c>
      <c r="B267" s="568" t="s">
        <v>429</v>
      </c>
      <c r="C267" s="568" t="s">
        <v>428</v>
      </c>
      <c r="D267" s="567">
        <v>2160</v>
      </c>
      <c r="E267" s="567">
        <v>7</v>
      </c>
      <c r="F267" s="567">
        <v>14</v>
      </c>
      <c r="G267" s="567">
        <v>117</v>
      </c>
      <c r="H267" s="567">
        <v>1130</v>
      </c>
      <c r="O267" s="568" t="s">
        <v>645</v>
      </c>
      <c r="P267" s="22">
        <f t="shared" si="9"/>
        <v>1</v>
      </c>
      <c r="Q267" s="22">
        <f t="shared" si="10"/>
        <v>801</v>
      </c>
      <c r="R267" s="22">
        <f t="shared" si="11"/>
        <v>801</v>
      </c>
    </row>
    <row r="268" spans="1:18" x14ac:dyDescent="0.2">
      <c r="A268" s="567">
        <v>855</v>
      </c>
      <c r="B268" s="568" t="s">
        <v>429</v>
      </c>
      <c r="C268" s="568" t="s">
        <v>430</v>
      </c>
      <c r="D268" s="567">
        <v>2161</v>
      </c>
      <c r="E268" s="567">
        <v>7</v>
      </c>
      <c r="F268" s="567">
        <v>14</v>
      </c>
      <c r="G268" s="567">
        <v>117</v>
      </c>
      <c r="H268" s="567">
        <v>1130</v>
      </c>
      <c r="O268" s="568" t="s">
        <v>81</v>
      </c>
      <c r="P268" s="22">
        <f t="shared" si="9"/>
        <v>5</v>
      </c>
      <c r="Q268" s="22">
        <f t="shared" si="10"/>
        <v>802</v>
      </c>
      <c r="R268" s="22">
        <f t="shared" si="11"/>
        <v>806</v>
      </c>
    </row>
    <row r="269" spans="1:18" x14ac:dyDescent="0.2">
      <c r="A269" s="567">
        <v>856</v>
      </c>
      <c r="B269" s="568" t="s">
        <v>429</v>
      </c>
      <c r="C269" s="568" t="s">
        <v>431</v>
      </c>
      <c r="D269" s="567">
        <v>2162</v>
      </c>
      <c r="E269" s="567">
        <v>7</v>
      </c>
      <c r="F269" s="567">
        <v>14</v>
      </c>
      <c r="G269" s="567">
        <v>117</v>
      </c>
      <c r="H269" s="567">
        <v>1130</v>
      </c>
      <c r="O269" s="568" t="s">
        <v>1812</v>
      </c>
      <c r="P269" s="22">
        <f t="shared" si="9"/>
        <v>4</v>
      </c>
      <c r="Q269" s="22">
        <f t="shared" si="10"/>
        <v>807</v>
      </c>
      <c r="R269" s="22">
        <f t="shared" si="11"/>
        <v>810</v>
      </c>
    </row>
    <row r="270" spans="1:18" x14ac:dyDescent="0.2">
      <c r="A270" s="567">
        <v>2666</v>
      </c>
      <c r="B270" s="568" t="s">
        <v>2913</v>
      </c>
      <c r="C270" s="568" t="s">
        <v>1801</v>
      </c>
      <c r="D270" s="567">
        <v>7690</v>
      </c>
      <c r="E270" s="567">
        <v>78</v>
      </c>
      <c r="F270" s="567">
        <v>14</v>
      </c>
      <c r="G270" s="567">
        <v>415</v>
      </c>
      <c r="H270" s="567">
        <v>4131</v>
      </c>
      <c r="O270" s="568" t="s">
        <v>1487</v>
      </c>
      <c r="P270" s="22">
        <f t="shared" si="9"/>
        <v>5</v>
      </c>
      <c r="Q270" s="22">
        <f t="shared" si="10"/>
        <v>811</v>
      </c>
      <c r="R270" s="22">
        <f t="shared" si="11"/>
        <v>815</v>
      </c>
    </row>
    <row r="271" spans="1:18" x14ac:dyDescent="0.2">
      <c r="A271" s="567">
        <v>2667</v>
      </c>
      <c r="B271" s="568" t="s">
        <v>2913</v>
      </c>
      <c r="C271" s="568" t="s">
        <v>2914</v>
      </c>
      <c r="D271" s="567">
        <v>7691</v>
      </c>
      <c r="E271" s="567">
        <v>78</v>
      </c>
      <c r="F271" s="567">
        <v>14</v>
      </c>
      <c r="G271" s="567">
        <v>415</v>
      </c>
      <c r="H271" s="567">
        <v>4131</v>
      </c>
      <c r="O271" s="568" t="s">
        <v>3274</v>
      </c>
      <c r="P271" s="22">
        <f t="shared" ref="P271:P334" si="12">COUNTIF($B$13:$B$3400,O271)</f>
        <v>1</v>
      </c>
      <c r="Q271" s="22">
        <f t="shared" si="10"/>
        <v>816</v>
      </c>
      <c r="R271" s="22">
        <f t="shared" si="11"/>
        <v>816</v>
      </c>
    </row>
    <row r="272" spans="1:18" x14ac:dyDescent="0.2">
      <c r="A272" s="567">
        <v>2668</v>
      </c>
      <c r="B272" s="568" t="s">
        <v>2913</v>
      </c>
      <c r="C272" s="568" t="s">
        <v>2915</v>
      </c>
      <c r="D272" s="567">
        <v>7692</v>
      </c>
      <c r="E272" s="567">
        <v>78</v>
      </c>
      <c r="F272" s="567">
        <v>14</v>
      </c>
      <c r="G272" s="567">
        <v>415</v>
      </c>
      <c r="H272" s="567">
        <v>4131</v>
      </c>
      <c r="O272" s="568" t="s">
        <v>3268</v>
      </c>
      <c r="P272" s="22">
        <f t="shared" si="12"/>
        <v>1</v>
      </c>
      <c r="Q272" s="22">
        <f t="shared" si="10"/>
        <v>817</v>
      </c>
      <c r="R272" s="22">
        <f t="shared" si="11"/>
        <v>817</v>
      </c>
    </row>
    <row r="273" spans="1:18" x14ac:dyDescent="0.2">
      <c r="A273" s="567">
        <v>2669</v>
      </c>
      <c r="B273" s="568" t="s">
        <v>2913</v>
      </c>
      <c r="C273" s="568" t="s">
        <v>2916</v>
      </c>
      <c r="D273" s="567">
        <v>7693</v>
      </c>
      <c r="E273" s="567">
        <v>78</v>
      </c>
      <c r="F273" s="567">
        <v>14</v>
      </c>
      <c r="G273" s="567">
        <v>415</v>
      </c>
      <c r="H273" s="567">
        <v>4131</v>
      </c>
      <c r="O273" s="568" t="s">
        <v>1816</v>
      </c>
      <c r="P273" s="22">
        <f t="shared" si="12"/>
        <v>6</v>
      </c>
      <c r="Q273" s="22">
        <f t="shared" ref="Q273:Q336" si="13">R272+1</f>
        <v>818</v>
      </c>
      <c r="R273" s="22">
        <f t="shared" ref="R273:R336" si="14">R272+P273</f>
        <v>823</v>
      </c>
    </row>
    <row r="274" spans="1:18" x14ac:dyDescent="0.2">
      <c r="A274" s="567">
        <v>2670</v>
      </c>
      <c r="B274" s="568" t="s">
        <v>2913</v>
      </c>
      <c r="C274" s="568" t="s">
        <v>2019</v>
      </c>
      <c r="D274" s="567">
        <v>7694</v>
      </c>
      <c r="E274" s="567">
        <v>78</v>
      </c>
      <c r="F274" s="567">
        <v>14</v>
      </c>
      <c r="G274" s="567">
        <v>415</v>
      </c>
      <c r="H274" s="567">
        <v>4131</v>
      </c>
      <c r="O274" s="568" t="s">
        <v>2428</v>
      </c>
      <c r="P274" s="22">
        <f t="shared" si="12"/>
        <v>2</v>
      </c>
      <c r="Q274" s="22">
        <f t="shared" si="13"/>
        <v>824</v>
      </c>
      <c r="R274" s="22">
        <f t="shared" si="14"/>
        <v>825</v>
      </c>
    </row>
    <row r="275" spans="1:18" x14ac:dyDescent="0.2">
      <c r="A275" s="567">
        <v>3244</v>
      </c>
      <c r="B275" s="568" t="s">
        <v>2811</v>
      </c>
      <c r="C275" s="568" t="s">
        <v>2810</v>
      </c>
      <c r="D275" s="567">
        <v>9411</v>
      </c>
      <c r="E275" s="567">
        <v>9</v>
      </c>
      <c r="F275" s="567">
        <v>11</v>
      </c>
      <c r="G275" s="567">
        <v>436</v>
      </c>
      <c r="H275" s="567">
        <v>4120</v>
      </c>
      <c r="O275" s="568" t="s">
        <v>1168</v>
      </c>
      <c r="P275" s="22">
        <f t="shared" si="12"/>
        <v>2</v>
      </c>
      <c r="Q275" s="22">
        <f t="shared" si="13"/>
        <v>826</v>
      </c>
      <c r="R275" s="22">
        <f t="shared" si="14"/>
        <v>827</v>
      </c>
    </row>
    <row r="276" spans="1:18" x14ac:dyDescent="0.2">
      <c r="A276" s="567">
        <v>3246</v>
      </c>
      <c r="B276" s="568" t="s">
        <v>2811</v>
      </c>
      <c r="C276" s="568" t="s">
        <v>2834</v>
      </c>
      <c r="D276" s="567">
        <v>9413</v>
      </c>
      <c r="E276" s="567">
        <v>9</v>
      </c>
      <c r="F276" s="567">
        <v>11</v>
      </c>
      <c r="G276" s="567">
        <v>436</v>
      </c>
      <c r="H276" s="567">
        <v>4120</v>
      </c>
      <c r="O276" s="568" t="s">
        <v>1861</v>
      </c>
      <c r="P276" s="22">
        <f t="shared" si="12"/>
        <v>4</v>
      </c>
      <c r="Q276" s="22">
        <f t="shared" si="13"/>
        <v>828</v>
      </c>
      <c r="R276" s="22">
        <f t="shared" si="14"/>
        <v>831</v>
      </c>
    </row>
    <row r="277" spans="1:18" x14ac:dyDescent="0.2">
      <c r="A277" s="567">
        <v>3247</v>
      </c>
      <c r="B277" s="568" t="s">
        <v>2811</v>
      </c>
      <c r="C277" s="568" t="s">
        <v>2835</v>
      </c>
      <c r="D277" s="567">
        <v>9414</v>
      </c>
      <c r="E277" s="567">
        <v>9</v>
      </c>
      <c r="F277" s="567">
        <v>11</v>
      </c>
      <c r="G277" s="567">
        <v>436</v>
      </c>
      <c r="H277" s="567">
        <v>4120</v>
      </c>
      <c r="O277" s="568" t="s">
        <v>1608</v>
      </c>
      <c r="P277" s="22">
        <f t="shared" si="12"/>
        <v>3</v>
      </c>
      <c r="Q277" s="22">
        <f t="shared" si="13"/>
        <v>832</v>
      </c>
      <c r="R277" s="22">
        <f t="shared" si="14"/>
        <v>834</v>
      </c>
    </row>
    <row r="278" spans="1:18" x14ac:dyDescent="0.2">
      <c r="A278" s="567">
        <v>3245</v>
      </c>
      <c r="B278" s="568" t="s">
        <v>2811</v>
      </c>
      <c r="C278" s="568" t="s">
        <v>2836</v>
      </c>
      <c r="D278" s="567">
        <v>9412</v>
      </c>
      <c r="E278" s="567">
        <v>9</v>
      </c>
      <c r="F278" s="567">
        <v>11</v>
      </c>
      <c r="G278" s="567">
        <v>436</v>
      </c>
      <c r="H278" s="567">
        <v>4120</v>
      </c>
      <c r="O278" s="568" t="s">
        <v>2267</v>
      </c>
      <c r="P278" s="22">
        <f t="shared" si="12"/>
        <v>9</v>
      </c>
      <c r="Q278" s="22">
        <f t="shared" si="13"/>
        <v>835</v>
      </c>
      <c r="R278" s="22">
        <f t="shared" si="14"/>
        <v>843</v>
      </c>
    </row>
    <row r="279" spans="1:18" x14ac:dyDescent="0.2">
      <c r="A279" s="567">
        <v>3243</v>
      </c>
      <c r="B279" s="568" t="s">
        <v>2811</v>
      </c>
      <c r="C279" s="568" t="s">
        <v>2837</v>
      </c>
      <c r="D279" s="567">
        <v>9410</v>
      </c>
      <c r="E279" s="567">
        <v>9</v>
      </c>
      <c r="F279" s="567">
        <v>11</v>
      </c>
      <c r="G279" s="567">
        <v>436</v>
      </c>
      <c r="H279" s="567">
        <v>4120</v>
      </c>
      <c r="O279" s="568" t="s">
        <v>2910</v>
      </c>
      <c r="P279" s="22">
        <f t="shared" si="12"/>
        <v>3</v>
      </c>
      <c r="Q279" s="22">
        <f t="shared" si="13"/>
        <v>844</v>
      </c>
      <c r="R279" s="22">
        <f t="shared" si="14"/>
        <v>846</v>
      </c>
    </row>
    <row r="280" spans="1:18" x14ac:dyDescent="0.2">
      <c r="A280" s="567">
        <v>3248</v>
      </c>
      <c r="B280" s="568" t="s">
        <v>2811</v>
      </c>
      <c r="C280" s="568" t="s">
        <v>1829</v>
      </c>
      <c r="D280" s="567">
        <v>9415</v>
      </c>
      <c r="E280" s="567">
        <v>9</v>
      </c>
      <c r="F280" s="567">
        <v>11</v>
      </c>
      <c r="G280" s="567">
        <v>436</v>
      </c>
      <c r="H280" s="567">
        <v>4120</v>
      </c>
      <c r="O280" s="568" t="s">
        <v>2907</v>
      </c>
      <c r="P280" s="22">
        <f t="shared" si="12"/>
        <v>1</v>
      </c>
      <c r="Q280" s="22">
        <f t="shared" si="13"/>
        <v>847</v>
      </c>
      <c r="R280" s="22">
        <f t="shared" si="14"/>
        <v>847</v>
      </c>
    </row>
    <row r="281" spans="1:18" x14ac:dyDescent="0.2">
      <c r="A281" s="567">
        <v>383</v>
      </c>
      <c r="B281" s="568" t="s">
        <v>543</v>
      </c>
      <c r="C281" s="568" t="s">
        <v>542</v>
      </c>
      <c r="D281" s="567">
        <v>690</v>
      </c>
      <c r="E281" s="567">
        <v>7</v>
      </c>
      <c r="F281" s="567">
        <v>1</v>
      </c>
      <c r="G281" s="567">
        <v>125</v>
      </c>
      <c r="H281" s="567">
        <v>1150</v>
      </c>
      <c r="O281" s="568" t="s">
        <v>1648</v>
      </c>
      <c r="P281" s="22">
        <f t="shared" si="12"/>
        <v>1</v>
      </c>
      <c r="Q281" s="22">
        <f t="shared" si="13"/>
        <v>848</v>
      </c>
      <c r="R281" s="22">
        <f t="shared" si="14"/>
        <v>848</v>
      </c>
    </row>
    <row r="282" spans="1:18" x14ac:dyDescent="0.2">
      <c r="A282" s="567">
        <v>3250</v>
      </c>
      <c r="B282" s="568" t="s">
        <v>2845</v>
      </c>
      <c r="C282" s="568" t="s">
        <v>2844</v>
      </c>
      <c r="D282" s="567">
        <v>9430</v>
      </c>
      <c r="E282" s="567">
        <v>10</v>
      </c>
      <c r="F282" s="567">
        <v>10</v>
      </c>
      <c r="G282" s="567">
        <v>436</v>
      </c>
      <c r="H282" s="567">
        <v>4120</v>
      </c>
      <c r="O282" s="568" t="s">
        <v>1438</v>
      </c>
      <c r="P282" s="22">
        <f t="shared" si="12"/>
        <v>1</v>
      </c>
      <c r="Q282" s="22">
        <f t="shared" si="13"/>
        <v>849</v>
      </c>
      <c r="R282" s="22">
        <f t="shared" si="14"/>
        <v>849</v>
      </c>
    </row>
    <row r="283" spans="1:18" x14ac:dyDescent="0.2">
      <c r="A283" s="567">
        <v>3259</v>
      </c>
      <c r="B283" s="568" t="s">
        <v>2845</v>
      </c>
      <c r="C283" s="568" t="s">
        <v>2869</v>
      </c>
      <c r="D283" s="567">
        <v>9439</v>
      </c>
      <c r="E283" s="567">
        <v>10</v>
      </c>
      <c r="F283" s="567">
        <v>10</v>
      </c>
      <c r="G283" s="567">
        <v>436</v>
      </c>
      <c r="H283" s="567">
        <v>4120</v>
      </c>
      <c r="O283" s="568" t="s">
        <v>2359</v>
      </c>
      <c r="P283" s="22">
        <f t="shared" si="12"/>
        <v>3</v>
      </c>
      <c r="Q283" s="22">
        <f t="shared" si="13"/>
        <v>850</v>
      </c>
      <c r="R283" s="22">
        <f t="shared" si="14"/>
        <v>852</v>
      </c>
    </row>
    <row r="284" spans="1:18" x14ac:dyDescent="0.2">
      <c r="A284" s="567">
        <v>3258</v>
      </c>
      <c r="B284" s="568" t="s">
        <v>2845</v>
      </c>
      <c r="C284" s="568" t="s">
        <v>1462</v>
      </c>
      <c r="D284" s="567">
        <v>9438</v>
      </c>
      <c r="E284" s="567">
        <v>10</v>
      </c>
      <c r="F284" s="567">
        <v>10</v>
      </c>
      <c r="G284" s="567">
        <v>436</v>
      </c>
      <c r="H284" s="567">
        <v>4120</v>
      </c>
      <c r="O284" s="568" t="s">
        <v>1392</v>
      </c>
      <c r="P284" s="22">
        <f t="shared" si="12"/>
        <v>1</v>
      </c>
      <c r="Q284" s="22">
        <f t="shared" si="13"/>
        <v>853</v>
      </c>
      <c r="R284" s="22">
        <f t="shared" si="14"/>
        <v>853</v>
      </c>
    </row>
    <row r="285" spans="1:18" x14ac:dyDescent="0.2">
      <c r="A285" s="567">
        <v>3257</v>
      </c>
      <c r="B285" s="568" t="s">
        <v>2845</v>
      </c>
      <c r="C285" s="568" t="s">
        <v>2870</v>
      </c>
      <c r="D285" s="567">
        <v>9437</v>
      </c>
      <c r="E285" s="567">
        <v>10</v>
      </c>
      <c r="F285" s="567">
        <v>10</v>
      </c>
      <c r="G285" s="567">
        <v>436</v>
      </c>
      <c r="H285" s="567">
        <v>4120</v>
      </c>
      <c r="O285" s="568" t="s">
        <v>620</v>
      </c>
      <c r="P285" s="22">
        <f t="shared" si="12"/>
        <v>7</v>
      </c>
      <c r="Q285" s="22">
        <f t="shared" si="13"/>
        <v>854</v>
      </c>
      <c r="R285" s="22">
        <f t="shared" si="14"/>
        <v>860</v>
      </c>
    </row>
    <row r="286" spans="1:18" x14ac:dyDescent="0.2">
      <c r="A286" s="567">
        <v>3256</v>
      </c>
      <c r="B286" s="568" t="s">
        <v>2845</v>
      </c>
      <c r="C286" s="568" t="s">
        <v>2871</v>
      </c>
      <c r="D286" s="567">
        <v>9436</v>
      </c>
      <c r="E286" s="567">
        <v>10</v>
      </c>
      <c r="F286" s="567">
        <v>10</v>
      </c>
      <c r="G286" s="567">
        <v>436</v>
      </c>
      <c r="H286" s="567">
        <v>4120</v>
      </c>
      <c r="O286" s="568" t="s">
        <v>3201</v>
      </c>
      <c r="P286" s="22">
        <f t="shared" si="12"/>
        <v>6</v>
      </c>
      <c r="Q286" s="22">
        <f t="shared" si="13"/>
        <v>861</v>
      </c>
      <c r="R286" s="22">
        <f t="shared" si="14"/>
        <v>866</v>
      </c>
    </row>
    <row r="287" spans="1:18" x14ac:dyDescent="0.2">
      <c r="A287" s="567">
        <v>3255</v>
      </c>
      <c r="B287" s="568" t="s">
        <v>2845</v>
      </c>
      <c r="C287" s="568" t="s">
        <v>2872</v>
      </c>
      <c r="D287" s="567">
        <v>9435</v>
      </c>
      <c r="E287" s="567">
        <v>10</v>
      </c>
      <c r="F287" s="567">
        <v>10</v>
      </c>
      <c r="G287" s="567">
        <v>436</v>
      </c>
      <c r="H287" s="567">
        <v>4120</v>
      </c>
      <c r="O287" s="568" t="s">
        <v>756</v>
      </c>
      <c r="P287" s="22">
        <f t="shared" si="12"/>
        <v>1</v>
      </c>
      <c r="Q287" s="22">
        <f t="shared" si="13"/>
        <v>867</v>
      </c>
      <c r="R287" s="22">
        <f t="shared" si="14"/>
        <v>867</v>
      </c>
    </row>
    <row r="288" spans="1:18" x14ac:dyDescent="0.2">
      <c r="A288" s="567">
        <v>3254</v>
      </c>
      <c r="B288" s="568" t="s">
        <v>2845</v>
      </c>
      <c r="C288" s="568" t="s">
        <v>2873</v>
      </c>
      <c r="D288" s="567">
        <v>9434</v>
      </c>
      <c r="E288" s="567">
        <v>10</v>
      </c>
      <c r="F288" s="567">
        <v>10</v>
      </c>
      <c r="G288" s="567">
        <v>436</v>
      </c>
      <c r="H288" s="567">
        <v>4120</v>
      </c>
      <c r="O288" s="568" t="s">
        <v>3153</v>
      </c>
      <c r="P288" s="22">
        <f t="shared" si="12"/>
        <v>1</v>
      </c>
      <c r="Q288" s="22">
        <f t="shared" si="13"/>
        <v>868</v>
      </c>
      <c r="R288" s="22">
        <f t="shared" si="14"/>
        <v>868</v>
      </c>
    </row>
    <row r="289" spans="1:18" x14ac:dyDescent="0.2">
      <c r="A289" s="567">
        <v>3253</v>
      </c>
      <c r="B289" s="568" t="s">
        <v>2845</v>
      </c>
      <c r="C289" s="568" t="s">
        <v>2874</v>
      </c>
      <c r="D289" s="567">
        <v>9433</v>
      </c>
      <c r="E289" s="567">
        <v>10</v>
      </c>
      <c r="F289" s="567">
        <v>10</v>
      </c>
      <c r="G289" s="567">
        <v>436</v>
      </c>
      <c r="H289" s="567">
        <v>4120</v>
      </c>
      <c r="O289" s="568" t="s">
        <v>834</v>
      </c>
      <c r="P289" s="22">
        <f t="shared" si="12"/>
        <v>1</v>
      </c>
      <c r="Q289" s="22">
        <f t="shared" si="13"/>
        <v>869</v>
      </c>
      <c r="R289" s="22">
        <f t="shared" si="14"/>
        <v>869</v>
      </c>
    </row>
    <row r="290" spans="1:18" x14ac:dyDescent="0.2">
      <c r="A290" s="567">
        <v>3252</v>
      </c>
      <c r="B290" s="568" t="s">
        <v>2845</v>
      </c>
      <c r="C290" s="568" t="s">
        <v>2875</v>
      </c>
      <c r="D290" s="567">
        <v>9432</v>
      </c>
      <c r="E290" s="567">
        <v>10</v>
      </c>
      <c r="F290" s="567">
        <v>10</v>
      </c>
      <c r="G290" s="567">
        <v>436</v>
      </c>
      <c r="H290" s="567">
        <v>4120</v>
      </c>
      <c r="O290" s="568" t="s">
        <v>562</v>
      </c>
      <c r="P290" s="22">
        <f t="shared" si="12"/>
        <v>1</v>
      </c>
      <c r="Q290" s="22">
        <f t="shared" si="13"/>
        <v>870</v>
      </c>
      <c r="R290" s="22">
        <f t="shared" si="14"/>
        <v>870</v>
      </c>
    </row>
    <row r="291" spans="1:18" x14ac:dyDescent="0.2">
      <c r="A291" s="567">
        <v>3251</v>
      </c>
      <c r="B291" s="568" t="s">
        <v>2845</v>
      </c>
      <c r="C291" s="568" t="s">
        <v>2876</v>
      </c>
      <c r="D291" s="567">
        <v>9431</v>
      </c>
      <c r="E291" s="567">
        <v>10</v>
      </c>
      <c r="F291" s="567">
        <v>10</v>
      </c>
      <c r="G291" s="567">
        <v>436</v>
      </c>
      <c r="H291" s="567">
        <v>4120</v>
      </c>
      <c r="O291" s="568" t="s">
        <v>2741</v>
      </c>
      <c r="P291" s="22">
        <f t="shared" si="12"/>
        <v>1</v>
      </c>
      <c r="Q291" s="22">
        <f t="shared" si="13"/>
        <v>871</v>
      </c>
      <c r="R291" s="22">
        <f t="shared" si="14"/>
        <v>871</v>
      </c>
    </row>
    <row r="292" spans="1:18" x14ac:dyDescent="0.2">
      <c r="A292" s="567">
        <v>1407</v>
      </c>
      <c r="B292" s="568" t="s">
        <v>1150</v>
      </c>
      <c r="C292" s="568" t="s">
        <v>1149</v>
      </c>
      <c r="D292" s="567">
        <v>3834</v>
      </c>
      <c r="E292" s="567">
        <v>0</v>
      </c>
      <c r="F292" s="567">
        <v>3</v>
      </c>
      <c r="G292" s="567">
        <v>211</v>
      </c>
      <c r="H292" s="567">
        <v>2100</v>
      </c>
      <c r="O292" s="568" t="s">
        <v>794</v>
      </c>
      <c r="P292" s="22">
        <f t="shared" si="12"/>
        <v>1</v>
      </c>
      <c r="Q292" s="22">
        <f t="shared" si="13"/>
        <v>872</v>
      </c>
      <c r="R292" s="22">
        <f t="shared" si="14"/>
        <v>872</v>
      </c>
    </row>
    <row r="293" spans="1:18" x14ac:dyDescent="0.2">
      <c r="A293" s="567">
        <v>1411</v>
      </c>
      <c r="B293" s="568" t="s">
        <v>1150</v>
      </c>
      <c r="C293" s="568" t="s">
        <v>283</v>
      </c>
      <c r="D293" s="567">
        <v>3838</v>
      </c>
      <c r="E293" s="567">
        <v>0</v>
      </c>
      <c r="F293" s="567">
        <v>3</v>
      </c>
      <c r="G293" s="567">
        <v>211</v>
      </c>
      <c r="H293" s="567">
        <v>2100</v>
      </c>
      <c r="O293" s="568" t="s">
        <v>2748</v>
      </c>
      <c r="P293" s="22">
        <f t="shared" si="12"/>
        <v>1</v>
      </c>
      <c r="Q293" s="22">
        <f t="shared" si="13"/>
        <v>873</v>
      </c>
      <c r="R293" s="22">
        <f t="shared" si="14"/>
        <v>873</v>
      </c>
    </row>
    <row r="294" spans="1:18" x14ac:dyDescent="0.2">
      <c r="A294" s="567">
        <v>1410</v>
      </c>
      <c r="B294" s="568" t="s">
        <v>1150</v>
      </c>
      <c r="C294" s="568" t="s">
        <v>1153</v>
      </c>
      <c r="D294" s="567">
        <v>3837</v>
      </c>
      <c r="E294" s="567">
        <v>0</v>
      </c>
      <c r="F294" s="567">
        <v>3</v>
      </c>
      <c r="G294" s="567">
        <v>211</v>
      </c>
      <c r="H294" s="567">
        <v>2100</v>
      </c>
      <c r="O294" s="568" t="s">
        <v>2715</v>
      </c>
      <c r="P294" s="22">
        <f t="shared" si="12"/>
        <v>3</v>
      </c>
      <c r="Q294" s="22">
        <f t="shared" si="13"/>
        <v>874</v>
      </c>
      <c r="R294" s="22">
        <f t="shared" si="14"/>
        <v>876</v>
      </c>
    </row>
    <row r="295" spans="1:18" x14ac:dyDescent="0.2">
      <c r="A295" s="567">
        <v>1408</v>
      </c>
      <c r="B295" s="568" t="s">
        <v>1150</v>
      </c>
      <c r="C295" s="568" t="s">
        <v>1154</v>
      </c>
      <c r="D295" s="567">
        <v>3835</v>
      </c>
      <c r="E295" s="567">
        <v>0</v>
      </c>
      <c r="F295" s="567">
        <v>3</v>
      </c>
      <c r="G295" s="567">
        <v>211</v>
      </c>
      <c r="H295" s="567">
        <v>2100</v>
      </c>
      <c r="O295" s="568" t="s">
        <v>69</v>
      </c>
      <c r="P295" s="22">
        <f t="shared" si="12"/>
        <v>1</v>
      </c>
      <c r="Q295" s="22">
        <f t="shared" si="13"/>
        <v>877</v>
      </c>
      <c r="R295" s="22">
        <f t="shared" si="14"/>
        <v>877</v>
      </c>
    </row>
    <row r="296" spans="1:18" x14ac:dyDescent="0.2">
      <c r="A296" s="567">
        <v>1412</v>
      </c>
      <c r="B296" s="568" t="s">
        <v>1150</v>
      </c>
      <c r="C296" s="568" t="s">
        <v>1155</v>
      </c>
      <c r="D296" s="567">
        <v>3839</v>
      </c>
      <c r="E296" s="567">
        <v>0</v>
      </c>
      <c r="F296" s="567">
        <v>3</v>
      </c>
      <c r="G296" s="567">
        <v>211</v>
      </c>
      <c r="H296" s="567">
        <v>2100</v>
      </c>
      <c r="O296" s="568" t="s">
        <v>1978</v>
      </c>
      <c r="P296" s="22">
        <f t="shared" si="12"/>
        <v>1</v>
      </c>
      <c r="Q296" s="22">
        <f t="shared" si="13"/>
        <v>878</v>
      </c>
      <c r="R296" s="22">
        <f t="shared" si="14"/>
        <v>878</v>
      </c>
    </row>
    <row r="297" spans="1:18" x14ac:dyDescent="0.2">
      <c r="A297" s="567">
        <v>1406</v>
      </c>
      <c r="B297" s="568" t="s">
        <v>1150</v>
      </c>
      <c r="C297" s="568" t="s">
        <v>1156</v>
      </c>
      <c r="D297" s="567">
        <v>3833</v>
      </c>
      <c r="E297" s="567">
        <v>0</v>
      </c>
      <c r="F297" s="567">
        <v>3</v>
      </c>
      <c r="G297" s="567">
        <v>211</v>
      </c>
      <c r="H297" s="567">
        <v>2100</v>
      </c>
      <c r="O297" s="568" t="s">
        <v>2369</v>
      </c>
      <c r="P297" s="22">
        <f t="shared" si="12"/>
        <v>2</v>
      </c>
      <c r="Q297" s="22">
        <f t="shared" si="13"/>
        <v>879</v>
      </c>
      <c r="R297" s="22">
        <f t="shared" si="14"/>
        <v>880</v>
      </c>
    </row>
    <row r="298" spans="1:18" x14ac:dyDescent="0.2">
      <c r="A298" s="567">
        <v>1405</v>
      </c>
      <c r="B298" s="568" t="s">
        <v>1150</v>
      </c>
      <c r="C298" s="568" t="s">
        <v>1157</v>
      </c>
      <c r="D298" s="567">
        <v>3832</v>
      </c>
      <c r="E298" s="567">
        <v>0</v>
      </c>
      <c r="F298" s="567">
        <v>3</v>
      </c>
      <c r="G298" s="567">
        <v>211</v>
      </c>
      <c r="H298" s="567">
        <v>2100</v>
      </c>
      <c r="O298" s="568" t="s">
        <v>1436</v>
      </c>
      <c r="P298" s="22">
        <f t="shared" si="12"/>
        <v>1</v>
      </c>
      <c r="Q298" s="22">
        <f t="shared" si="13"/>
        <v>881</v>
      </c>
      <c r="R298" s="22">
        <f t="shared" si="14"/>
        <v>881</v>
      </c>
    </row>
    <row r="299" spans="1:18" x14ac:dyDescent="0.2">
      <c r="A299" s="567">
        <v>1404</v>
      </c>
      <c r="B299" s="568" t="s">
        <v>1150</v>
      </c>
      <c r="C299" s="568" t="s">
        <v>1158</v>
      </c>
      <c r="D299" s="567">
        <v>3831</v>
      </c>
      <c r="E299" s="567">
        <v>0</v>
      </c>
      <c r="F299" s="567">
        <v>3</v>
      </c>
      <c r="G299" s="567">
        <v>211</v>
      </c>
      <c r="H299" s="567">
        <v>2100</v>
      </c>
      <c r="O299" s="568" t="s">
        <v>475</v>
      </c>
      <c r="P299" s="22">
        <f t="shared" si="12"/>
        <v>1</v>
      </c>
      <c r="Q299" s="22">
        <f t="shared" si="13"/>
        <v>882</v>
      </c>
      <c r="R299" s="22">
        <f t="shared" si="14"/>
        <v>882</v>
      </c>
    </row>
    <row r="300" spans="1:18" x14ac:dyDescent="0.2">
      <c r="A300" s="567">
        <v>1403</v>
      </c>
      <c r="B300" s="568" t="s">
        <v>1150</v>
      </c>
      <c r="C300" s="568" t="s">
        <v>1150</v>
      </c>
      <c r="D300" s="567">
        <v>3830</v>
      </c>
      <c r="E300" s="567">
        <v>0</v>
      </c>
      <c r="F300" s="567">
        <v>3</v>
      </c>
      <c r="G300" s="567">
        <v>211</v>
      </c>
      <c r="H300" s="567">
        <v>2100</v>
      </c>
      <c r="O300" s="568" t="s">
        <v>104</v>
      </c>
      <c r="P300" s="22">
        <f t="shared" si="12"/>
        <v>2</v>
      </c>
      <c r="Q300" s="22">
        <f t="shared" si="13"/>
        <v>883</v>
      </c>
      <c r="R300" s="22">
        <f t="shared" si="14"/>
        <v>884</v>
      </c>
    </row>
    <row r="301" spans="1:18" x14ac:dyDescent="0.2">
      <c r="A301" s="567">
        <v>1409</v>
      </c>
      <c r="B301" s="568" t="s">
        <v>1150</v>
      </c>
      <c r="C301" s="568" t="s">
        <v>1166</v>
      </c>
      <c r="D301" s="567">
        <v>3836</v>
      </c>
      <c r="E301" s="567">
        <v>0</v>
      </c>
      <c r="F301" s="567">
        <v>3</v>
      </c>
      <c r="G301" s="567">
        <v>211</v>
      </c>
      <c r="H301" s="567">
        <v>2100</v>
      </c>
      <c r="O301" s="568" t="s">
        <v>865</v>
      </c>
      <c r="P301" s="22">
        <f t="shared" si="12"/>
        <v>1</v>
      </c>
      <c r="Q301" s="22">
        <f t="shared" si="13"/>
        <v>885</v>
      </c>
      <c r="R301" s="22">
        <f t="shared" si="14"/>
        <v>885</v>
      </c>
    </row>
    <row r="302" spans="1:18" x14ac:dyDescent="0.2">
      <c r="A302" s="567">
        <v>2002</v>
      </c>
      <c r="B302" s="568" t="s">
        <v>1969</v>
      </c>
      <c r="C302" s="568" t="s">
        <v>1969</v>
      </c>
      <c r="D302" s="567">
        <v>5685</v>
      </c>
      <c r="E302" s="567">
        <v>7</v>
      </c>
      <c r="F302" s="567">
        <v>3</v>
      </c>
      <c r="G302" s="567">
        <v>315</v>
      </c>
      <c r="H302" s="567">
        <v>3120</v>
      </c>
      <c r="O302" s="568" t="s">
        <v>2184</v>
      </c>
      <c r="P302" s="22">
        <f t="shared" si="12"/>
        <v>5</v>
      </c>
      <c r="Q302" s="22">
        <f t="shared" si="13"/>
        <v>886</v>
      </c>
      <c r="R302" s="22">
        <f t="shared" si="14"/>
        <v>890</v>
      </c>
    </row>
    <row r="303" spans="1:18" x14ac:dyDescent="0.2">
      <c r="A303" s="567">
        <v>2003</v>
      </c>
      <c r="B303" s="568" t="s">
        <v>1969</v>
      </c>
      <c r="C303" s="568" t="s">
        <v>1970</v>
      </c>
      <c r="D303" s="567">
        <v>5686</v>
      </c>
      <c r="E303" s="567">
        <v>7</v>
      </c>
      <c r="F303" s="567">
        <v>3</v>
      </c>
      <c r="G303" s="567">
        <v>315</v>
      </c>
      <c r="H303" s="567">
        <v>3120</v>
      </c>
      <c r="O303" s="568" t="s">
        <v>1309</v>
      </c>
      <c r="P303" s="22">
        <f t="shared" si="12"/>
        <v>7</v>
      </c>
      <c r="Q303" s="22">
        <f t="shared" si="13"/>
        <v>891</v>
      </c>
      <c r="R303" s="22">
        <f t="shared" si="14"/>
        <v>897</v>
      </c>
    </row>
    <row r="304" spans="1:18" x14ac:dyDescent="0.2">
      <c r="A304" s="567">
        <v>2004</v>
      </c>
      <c r="B304" s="568" t="s">
        <v>1969</v>
      </c>
      <c r="C304" s="568" t="s">
        <v>1971</v>
      </c>
      <c r="D304" s="567">
        <v>5687</v>
      </c>
      <c r="E304" s="567">
        <v>7</v>
      </c>
      <c r="F304" s="567">
        <v>3</v>
      </c>
      <c r="G304" s="567">
        <v>315</v>
      </c>
      <c r="H304" s="567">
        <v>3120</v>
      </c>
      <c r="O304" s="568" t="s">
        <v>1224</v>
      </c>
      <c r="P304" s="22">
        <f t="shared" si="12"/>
        <v>4</v>
      </c>
      <c r="Q304" s="22">
        <f t="shared" si="13"/>
        <v>898</v>
      </c>
      <c r="R304" s="22">
        <f t="shared" si="14"/>
        <v>901</v>
      </c>
    </row>
    <row r="305" spans="1:18" x14ac:dyDescent="0.2">
      <c r="A305" s="567">
        <v>3282</v>
      </c>
      <c r="B305" s="568" t="s">
        <v>2797</v>
      </c>
      <c r="C305" s="568" t="s">
        <v>2797</v>
      </c>
      <c r="D305" s="567">
        <v>9560</v>
      </c>
      <c r="E305" s="567">
        <v>11</v>
      </c>
      <c r="F305" s="567">
        <v>11</v>
      </c>
      <c r="G305" s="567">
        <v>436</v>
      </c>
      <c r="H305" s="567">
        <v>4120</v>
      </c>
      <c r="O305" s="568" t="s">
        <v>1475</v>
      </c>
      <c r="P305" s="22">
        <f t="shared" si="12"/>
        <v>3</v>
      </c>
      <c r="Q305" s="22">
        <f t="shared" si="13"/>
        <v>902</v>
      </c>
      <c r="R305" s="22">
        <f t="shared" si="14"/>
        <v>904</v>
      </c>
    </row>
    <row r="306" spans="1:18" x14ac:dyDescent="0.2">
      <c r="A306" s="567">
        <v>1582</v>
      </c>
      <c r="B306" s="568" t="s">
        <v>1227</v>
      </c>
      <c r="C306" s="568" t="s">
        <v>1226</v>
      </c>
      <c r="D306" s="567">
        <v>4344</v>
      </c>
      <c r="E306" s="567">
        <v>4</v>
      </c>
      <c r="F306" s="567">
        <v>6</v>
      </c>
      <c r="G306" s="567">
        <v>237</v>
      </c>
      <c r="H306" s="567">
        <v>2110</v>
      </c>
      <c r="O306" s="568" t="s">
        <v>1965</v>
      </c>
      <c r="P306" s="22">
        <f t="shared" si="12"/>
        <v>3</v>
      </c>
      <c r="Q306" s="22">
        <f t="shared" si="13"/>
        <v>905</v>
      </c>
      <c r="R306" s="22">
        <f t="shared" si="14"/>
        <v>907</v>
      </c>
    </row>
    <row r="307" spans="1:18" x14ac:dyDescent="0.2">
      <c r="A307" s="567">
        <v>1581</v>
      </c>
      <c r="B307" s="568" t="s">
        <v>1227</v>
      </c>
      <c r="C307" s="568" t="s">
        <v>1228</v>
      </c>
      <c r="D307" s="567">
        <v>4343</v>
      </c>
      <c r="E307" s="567">
        <v>4</v>
      </c>
      <c r="F307" s="567">
        <v>6</v>
      </c>
      <c r="G307" s="567">
        <v>237</v>
      </c>
      <c r="H307" s="567">
        <v>2110</v>
      </c>
      <c r="O307" s="568" t="s">
        <v>186</v>
      </c>
      <c r="P307" s="22">
        <f t="shared" si="12"/>
        <v>3</v>
      </c>
      <c r="Q307" s="22">
        <f t="shared" si="13"/>
        <v>908</v>
      </c>
      <c r="R307" s="22">
        <f t="shared" si="14"/>
        <v>910</v>
      </c>
    </row>
    <row r="308" spans="1:18" x14ac:dyDescent="0.2">
      <c r="A308" s="567">
        <v>1578</v>
      </c>
      <c r="B308" s="568" t="s">
        <v>1227</v>
      </c>
      <c r="C308" s="568" t="s">
        <v>1227</v>
      </c>
      <c r="D308" s="567">
        <v>4340</v>
      </c>
      <c r="E308" s="567">
        <v>4</v>
      </c>
      <c r="F308" s="567">
        <v>6</v>
      </c>
      <c r="G308" s="567">
        <v>237</v>
      </c>
      <c r="H308" s="567">
        <v>2110</v>
      </c>
      <c r="O308" s="568" t="s">
        <v>998</v>
      </c>
      <c r="P308" s="22">
        <f t="shared" si="12"/>
        <v>4</v>
      </c>
      <c r="Q308" s="22">
        <f t="shared" si="13"/>
        <v>911</v>
      </c>
      <c r="R308" s="22">
        <f t="shared" si="14"/>
        <v>914</v>
      </c>
    </row>
    <row r="309" spans="1:18" x14ac:dyDescent="0.2">
      <c r="A309" s="567">
        <v>1579</v>
      </c>
      <c r="B309" s="568" t="s">
        <v>1227</v>
      </c>
      <c r="C309" s="568" t="s">
        <v>1229</v>
      </c>
      <c r="D309" s="567">
        <v>4341</v>
      </c>
      <c r="E309" s="567">
        <v>4</v>
      </c>
      <c r="F309" s="567">
        <v>6</v>
      </c>
      <c r="G309" s="567">
        <v>237</v>
      </c>
      <c r="H309" s="567">
        <v>2110</v>
      </c>
      <c r="O309" s="568" t="s">
        <v>1088</v>
      </c>
      <c r="P309" s="22">
        <f t="shared" si="12"/>
        <v>1</v>
      </c>
      <c r="Q309" s="22">
        <f t="shared" si="13"/>
        <v>915</v>
      </c>
      <c r="R309" s="22">
        <f t="shared" si="14"/>
        <v>915</v>
      </c>
    </row>
    <row r="310" spans="1:18" x14ac:dyDescent="0.2">
      <c r="A310" s="567">
        <v>1580</v>
      </c>
      <c r="B310" s="568" t="s">
        <v>1227</v>
      </c>
      <c r="C310" s="568" t="s">
        <v>1230</v>
      </c>
      <c r="D310" s="567">
        <v>4342</v>
      </c>
      <c r="E310" s="567">
        <v>4</v>
      </c>
      <c r="F310" s="567">
        <v>6</v>
      </c>
      <c r="G310" s="567">
        <v>237</v>
      </c>
      <c r="H310" s="567">
        <v>2110</v>
      </c>
      <c r="O310" s="568" t="s">
        <v>872</v>
      </c>
      <c r="P310" s="22">
        <f t="shared" si="12"/>
        <v>5</v>
      </c>
      <c r="Q310" s="22">
        <f t="shared" si="13"/>
        <v>916</v>
      </c>
      <c r="R310" s="22">
        <f t="shared" si="14"/>
        <v>920</v>
      </c>
    </row>
    <row r="311" spans="1:18" x14ac:dyDescent="0.2">
      <c r="A311" s="567">
        <v>3280</v>
      </c>
      <c r="B311" s="568" t="s">
        <v>2798</v>
      </c>
      <c r="C311" s="568" t="s">
        <v>2798</v>
      </c>
      <c r="D311" s="567">
        <v>9540</v>
      </c>
      <c r="E311" s="567">
        <v>12</v>
      </c>
      <c r="F311" s="567">
        <v>11</v>
      </c>
      <c r="G311" s="567">
        <v>436</v>
      </c>
      <c r="H311" s="567">
        <v>4120</v>
      </c>
      <c r="O311" s="568" t="s">
        <v>2181</v>
      </c>
      <c r="P311" s="22">
        <f t="shared" si="12"/>
        <v>1</v>
      </c>
      <c r="Q311" s="22">
        <f t="shared" si="13"/>
        <v>921</v>
      </c>
      <c r="R311" s="22">
        <f t="shared" si="14"/>
        <v>921</v>
      </c>
    </row>
    <row r="312" spans="1:18" x14ac:dyDescent="0.2">
      <c r="A312" s="567">
        <v>2186</v>
      </c>
      <c r="B312" s="568" t="s">
        <v>2450</v>
      </c>
      <c r="C312" s="568" t="s">
        <v>2450</v>
      </c>
      <c r="D312" s="567">
        <v>6275</v>
      </c>
      <c r="E312" s="567">
        <v>5</v>
      </c>
      <c r="F312" s="567">
        <v>16</v>
      </c>
      <c r="G312" s="567">
        <v>327</v>
      </c>
      <c r="H312" s="567">
        <v>3170</v>
      </c>
      <c r="O312" s="568" t="s">
        <v>2060</v>
      </c>
      <c r="P312" s="22">
        <f t="shared" si="12"/>
        <v>1</v>
      </c>
      <c r="Q312" s="22">
        <f t="shared" si="13"/>
        <v>922</v>
      </c>
      <c r="R312" s="22">
        <f t="shared" si="14"/>
        <v>922</v>
      </c>
    </row>
    <row r="313" spans="1:18" x14ac:dyDescent="0.2">
      <c r="A313" s="567">
        <v>1839</v>
      </c>
      <c r="B313" s="568" t="s">
        <v>1852</v>
      </c>
      <c r="C313" s="568" t="s">
        <v>1852</v>
      </c>
      <c r="D313" s="567">
        <v>5120</v>
      </c>
      <c r="E313" s="567">
        <v>2</v>
      </c>
      <c r="F313" s="567">
        <v>3</v>
      </c>
      <c r="G313" s="567">
        <v>316</v>
      </c>
      <c r="H313" s="567">
        <v>3110</v>
      </c>
      <c r="O313" s="568" t="s">
        <v>608</v>
      </c>
      <c r="P313" s="22">
        <f t="shared" si="12"/>
        <v>1</v>
      </c>
      <c r="Q313" s="22">
        <f t="shared" si="13"/>
        <v>923</v>
      </c>
      <c r="R313" s="22">
        <f t="shared" si="14"/>
        <v>923</v>
      </c>
    </row>
    <row r="314" spans="1:18" x14ac:dyDescent="0.2">
      <c r="A314" s="567">
        <v>2789</v>
      </c>
      <c r="B314" s="568" t="s">
        <v>1852</v>
      </c>
      <c r="C314" s="568" t="s">
        <v>2601</v>
      </c>
      <c r="D314" s="567">
        <v>7980</v>
      </c>
      <c r="E314" s="567">
        <v>2</v>
      </c>
      <c r="F314" s="567">
        <v>16</v>
      </c>
      <c r="G314" s="567">
        <v>417</v>
      </c>
      <c r="H314" s="567">
        <v>4100</v>
      </c>
      <c r="O314" s="568" t="s">
        <v>2841</v>
      </c>
      <c r="P314" s="22">
        <f t="shared" si="12"/>
        <v>1</v>
      </c>
      <c r="Q314" s="22">
        <f t="shared" si="13"/>
        <v>924</v>
      </c>
      <c r="R314" s="22">
        <f t="shared" si="14"/>
        <v>924</v>
      </c>
    </row>
    <row r="315" spans="1:18" x14ac:dyDescent="0.2">
      <c r="A315" s="567">
        <v>2783</v>
      </c>
      <c r="B315" s="568" t="s">
        <v>1852</v>
      </c>
      <c r="C315" s="568" t="s">
        <v>2602</v>
      </c>
      <c r="D315" s="567">
        <v>7974</v>
      </c>
      <c r="E315" s="567">
        <v>2</v>
      </c>
      <c r="F315" s="567">
        <v>16</v>
      </c>
      <c r="G315" s="567">
        <v>417</v>
      </c>
      <c r="H315" s="567">
        <v>4100</v>
      </c>
      <c r="O315" s="568" t="s">
        <v>2399</v>
      </c>
      <c r="P315" s="22">
        <f t="shared" si="12"/>
        <v>2</v>
      </c>
      <c r="Q315" s="22">
        <f t="shared" si="13"/>
        <v>925</v>
      </c>
      <c r="R315" s="22">
        <f t="shared" si="14"/>
        <v>926</v>
      </c>
    </row>
    <row r="316" spans="1:18" x14ac:dyDescent="0.2">
      <c r="A316" s="567">
        <v>2788</v>
      </c>
      <c r="B316" s="568" t="s">
        <v>1852</v>
      </c>
      <c r="C316" s="568" t="s">
        <v>2605</v>
      </c>
      <c r="D316" s="567">
        <v>7979</v>
      </c>
      <c r="E316" s="567">
        <v>2</v>
      </c>
      <c r="F316" s="567">
        <v>16</v>
      </c>
      <c r="G316" s="567">
        <v>417</v>
      </c>
      <c r="H316" s="567">
        <v>4100</v>
      </c>
      <c r="O316" s="568" t="s">
        <v>1160</v>
      </c>
      <c r="P316" s="22">
        <f t="shared" si="12"/>
        <v>4</v>
      </c>
      <c r="Q316" s="22">
        <f t="shared" si="13"/>
        <v>927</v>
      </c>
      <c r="R316" s="22">
        <f t="shared" si="14"/>
        <v>930</v>
      </c>
    </row>
    <row r="317" spans="1:18" x14ac:dyDescent="0.2">
      <c r="A317" s="567">
        <v>2787</v>
      </c>
      <c r="B317" s="568" t="s">
        <v>1852</v>
      </c>
      <c r="C317" s="568" t="s">
        <v>2606</v>
      </c>
      <c r="D317" s="567">
        <v>7978</v>
      </c>
      <c r="E317" s="567">
        <v>2</v>
      </c>
      <c r="F317" s="567">
        <v>16</v>
      </c>
      <c r="G317" s="567">
        <v>417</v>
      </c>
      <c r="H317" s="567">
        <v>4100</v>
      </c>
      <c r="O317" s="568" t="s">
        <v>1342</v>
      </c>
      <c r="P317" s="22">
        <f t="shared" si="12"/>
        <v>1</v>
      </c>
      <c r="Q317" s="22">
        <f t="shared" si="13"/>
        <v>931</v>
      </c>
      <c r="R317" s="22">
        <f t="shared" si="14"/>
        <v>931</v>
      </c>
    </row>
    <row r="318" spans="1:18" x14ac:dyDescent="0.2">
      <c r="A318" s="567">
        <v>2786</v>
      </c>
      <c r="B318" s="568" t="s">
        <v>1852</v>
      </c>
      <c r="C318" s="568" t="s">
        <v>2608</v>
      </c>
      <c r="D318" s="567">
        <v>7977</v>
      </c>
      <c r="E318" s="567">
        <v>2</v>
      </c>
      <c r="F318" s="567">
        <v>16</v>
      </c>
      <c r="G318" s="567">
        <v>417</v>
      </c>
      <c r="H318" s="567">
        <v>4100</v>
      </c>
      <c r="O318" s="568" t="s">
        <v>951</v>
      </c>
      <c r="P318" s="22">
        <f t="shared" si="12"/>
        <v>5</v>
      </c>
      <c r="Q318" s="22">
        <f t="shared" si="13"/>
        <v>932</v>
      </c>
      <c r="R318" s="22">
        <f t="shared" si="14"/>
        <v>936</v>
      </c>
    </row>
    <row r="319" spans="1:18" x14ac:dyDescent="0.2">
      <c r="A319" s="567">
        <v>2779</v>
      </c>
      <c r="B319" s="568" t="s">
        <v>1852</v>
      </c>
      <c r="C319" s="568" t="s">
        <v>1852</v>
      </c>
      <c r="D319" s="567">
        <v>7970</v>
      </c>
      <c r="E319" s="567">
        <v>2</v>
      </c>
      <c r="F319" s="567">
        <v>16</v>
      </c>
      <c r="G319" s="567">
        <v>417</v>
      </c>
      <c r="H319" s="567">
        <v>4100</v>
      </c>
      <c r="O319" s="568" t="s">
        <v>1251</v>
      </c>
      <c r="P319" s="22">
        <f t="shared" si="12"/>
        <v>1</v>
      </c>
      <c r="Q319" s="22">
        <f t="shared" si="13"/>
        <v>937</v>
      </c>
      <c r="R319" s="22">
        <f t="shared" si="14"/>
        <v>937</v>
      </c>
    </row>
    <row r="320" spans="1:18" x14ac:dyDescent="0.2">
      <c r="A320" s="567">
        <v>2784</v>
      </c>
      <c r="B320" s="568" t="s">
        <v>1852</v>
      </c>
      <c r="C320" s="568" t="s">
        <v>2609</v>
      </c>
      <c r="D320" s="567">
        <v>7975</v>
      </c>
      <c r="E320" s="567">
        <v>2</v>
      </c>
      <c r="F320" s="567">
        <v>16</v>
      </c>
      <c r="G320" s="567">
        <v>417</v>
      </c>
      <c r="H320" s="567">
        <v>4100</v>
      </c>
      <c r="O320" s="568" t="s">
        <v>991</v>
      </c>
      <c r="P320" s="22">
        <f t="shared" si="12"/>
        <v>3</v>
      </c>
      <c r="Q320" s="22">
        <f t="shared" si="13"/>
        <v>938</v>
      </c>
      <c r="R320" s="22">
        <f t="shared" si="14"/>
        <v>940</v>
      </c>
    </row>
    <row r="321" spans="1:18" x14ac:dyDescent="0.2">
      <c r="A321" s="567">
        <v>2782</v>
      </c>
      <c r="B321" s="568" t="s">
        <v>1852</v>
      </c>
      <c r="C321" s="568" t="s">
        <v>2494</v>
      </c>
      <c r="D321" s="567">
        <v>7973</v>
      </c>
      <c r="E321" s="567">
        <v>2</v>
      </c>
      <c r="F321" s="567">
        <v>16</v>
      </c>
      <c r="G321" s="567">
        <v>417</v>
      </c>
      <c r="H321" s="567">
        <v>4100</v>
      </c>
      <c r="O321" s="568" t="s">
        <v>1858</v>
      </c>
      <c r="P321" s="22">
        <f t="shared" si="12"/>
        <v>2</v>
      </c>
      <c r="Q321" s="22">
        <f t="shared" si="13"/>
        <v>941</v>
      </c>
      <c r="R321" s="22">
        <f t="shared" si="14"/>
        <v>942</v>
      </c>
    </row>
    <row r="322" spans="1:18" x14ac:dyDescent="0.2">
      <c r="A322" s="567">
        <v>2781</v>
      </c>
      <c r="B322" s="568" t="s">
        <v>1852</v>
      </c>
      <c r="C322" s="568" t="s">
        <v>2613</v>
      </c>
      <c r="D322" s="567">
        <v>7972</v>
      </c>
      <c r="E322" s="567">
        <v>2</v>
      </c>
      <c r="F322" s="567">
        <v>16</v>
      </c>
      <c r="G322" s="567">
        <v>417</v>
      </c>
      <c r="H322" s="567">
        <v>4100</v>
      </c>
      <c r="O322" s="568" t="s">
        <v>740</v>
      </c>
      <c r="P322" s="22">
        <f t="shared" si="12"/>
        <v>3</v>
      </c>
      <c r="Q322" s="22">
        <f t="shared" si="13"/>
        <v>943</v>
      </c>
      <c r="R322" s="22">
        <f t="shared" si="14"/>
        <v>945</v>
      </c>
    </row>
    <row r="323" spans="1:18" x14ac:dyDescent="0.2">
      <c r="A323" s="567">
        <v>2780</v>
      </c>
      <c r="B323" s="568" t="s">
        <v>1852</v>
      </c>
      <c r="C323" s="568" t="s">
        <v>1861</v>
      </c>
      <c r="D323" s="567">
        <v>7971</v>
      </c>
      <c r="E323" s="567">
        <v>2</v>
      </c>
      <c r="F323" s="567">
        <v>16</v>
      </c>
      <c r="G323" s="567">
        <v>417</v>
      </c>
      <c r="H323" s="567">
        <v>4100</v>
      </c>
      <c r="O323" s="568" t="s">
        <v>1893</v>
      </c>
      <c r="P323" s="22">
        <f t="shared" si="12"/>
        <v>9</v>
      </c>
      <c r="Q323" s="22">
        <f t="shared" si="13"/>
        <v>946</v>
      </c>
      <c r="R323" s="22">
        <f t="shared" si="14"/>
        <v>954</v>
      </c>
    </row>
    <row r="324" spans="1:18" x14ac:dyDescent="0.2">
      <c r="A324" s="567">
        <v>2785</v>
      </c>
      <c r="B324" s="568" t="s">
        <v>1852</v>
      </c>
      <c r="C324" s="568" t="s">
        <v>2614</v>
      </c>
      <c r="D324" s="567">
        <v>7976</v>
      </c>
      <c r="E324" s="567">
        <v>2</v>
      </c>
      <c r="F324" s="567">
        <v>16</v>
      </c>
      <c r="G324" s="567">
        <v>417</v>
      </c>
      <c r="H324" s="567">
        <v>4100</v>
      </c>
      <c r="O324" s="568" t="s">
        <v>296</v>
      </c>
      <c r="P324" s="22">
        <f t="shared" si="12"/>
        <v>5</v>
      </c>
      <c r="Q324" s="22">
        <f t="shared" si="13"/>
        <v>955</v>
      </c>
      <c r="R324" s="22">
        <f t="shared" si="14"/>
        <v>959</v>
      </c>
    </row>
    <row r="325" spans="1:18" x14ac:dyDescent="0.2">
      <c r="A325" s="567">
        <v>2837</v>
      </c>
      <c r="B325" s="568" t="s">
        <v>3251</v>
      </c>
      <c r="C325" s="568" t="s">
        <v>3251</v>
      </c>
      <c r="D325" s="567">
        <v>8150</v>
      </c>
      <c r="E325" s="567">
        <v>13</v>
      </c>
      <c r="F325" s="567">
        <v>13</v>
      </c>
      <c r="G325" s="567">
        <v>425</v>
      </c>
      <c r="H325" s="567">
        <v>4170</v>
      </c>
      <c r="O325" s="568" t="s">
        <v>1215</v>
      </c>
      <c r="P325" s="22">
        <f t="shared" si="12"/>
        <v>6</v>
      </c>
      <c r="Q325" s="22">
        <f t="shared" si="13"/>
        <v>960</v>
      </c>
      <c r="R325" s="22">
        <f t="shared" si="14"/>
        <v>965</v>
      </c>
    </row>
    <row r="326" spans="1:18" x14ac:dyDescent="0.2">
      <c r="A326" s="567">
        <v>1963</v>
      </c>
      <c r="B326" s="568" t="s">
        <v>1984</v>
      </c>
      <c r="C326" s="568" t="s">
        <v>1983</v>
      </c>
      <c r="D326" s="567">
        <v>5561</v>
      </c>
      <c r="E326" s="567">
        <v>8</v>
      </c>
      <c r="F326" s="567">
        <v>3</v>
      </c>
      <c r="G326" s="567">
        <v>315</v>
      </c>
      <c r="H326" s="567">
        <v>3120</v>
      </c>
      <c r="O326" s="568" t="s">
        <v>765</v>
      </c>
      <c r="P326" s="22">
        <f t="shared" si="12"/>
        <v>1</v>
      </c>
      <c r="Q326" s="22">
        <f t="shared" si="13"/>
        <v>966</v>
      </c>
      <c r="R326" s="22">
        <f t="shared" si="14"/>
        <v>966</v>
      </c>
    </row>
    <row r="327" spans="1:18" x14ac:dyDescent="0.2">
      <c r="A327" s="567">
        <v>1962</v>
      </c>
      <c r="B327" s="568" t="s">
        <v>1984</v>
      </c>
      <c r="C327" s="568" t="s">
        <v>1992</v>
      </c>
      <c r="D327" s="567">
        <v>5560</v>
      </c>
      <c r="E327" s="567">
        <v>8</v>
      </c>
      <c r="F327" s="567">
        <v>3</v>
      </c>
      <c r="G327" s="567">
        <v>315</v>
      </c>
      <c r="H327" s="567">
        <v>3120</v>
      </c>
      <c r="O327" s="568" t="s">
        <v>808</v>
      </c>
      <c r="P327" s="22">
        <f t="shared" si="12"/>
        <v>3</v>
      </c>
      <c r="Q327" s="22">
        <f t="shared" si="13"/>
        <v>967</v>
      </c>
      <c r="R327" s="22">
        <f t="shared" si="14"/>
        <v>969</v>
      </c>
    </row>
    <row r="328" spans="1:18" x14ac:dyDescent="0.2">
      <c r="A328" s="567">
        <v>737</v>
      </c>
      <c r="B328" s="568" t="s">
        <v>852</v>
      </c>
      <c r="C328" s="568" t="s">
        <v>851</v>
      </c>
      <c r="D328" s="567">
        <v>1706</v>
      </c>
      <c r="E328" s="567">
        <v>7</v>
      </c>
      <c r="F328" s="567">
        <v>2</v>
      </c>
      <c r="G328" s="567">
        <v>116</v>
      </c>
      <c r="H328" s="567">
        <v>1180</v>
      </c>
      <c r="O328" s="568" t="s">
        <v>503</v>
      </c>
      <c r="P328" s="22">
        <f t="shared" si="12"/>
        <v>3</v>
      </c>
      <c r="Q328" s="22">
        <f t="shared" si="13"/>
        <v>970</v>
      </c>
      <c r="R328" s="22">
        <f t="shared" si="14"/>
        <v>972</v>
      </c>
    </row>
    <row r="329" spans="1:18" x14ac:dyDescent="0.2">
      <c r="A329" s="567">
        <v>736</v>
      </c>
      <c r="B329" s="568" t="s">
        <v>852</v>
      </c>
      <c r="C329" s="568" t="s">
        <v>852</v>
      </c>
      <c r="D329" s="567">
        <v>1705</v>
      </c>
      <c r="E329" s="567">
        <v>7</v>
      </c>
      <c r="F329" s="567">
        <v>2</v>
      </c>
      <c r="G329" s="567">
        <v>116</v>
      </c>
      <c r="H329" s="567">
        <v>1180</v>
      </c>
      <c r="O329" s="568" t="s">
        <v>2415</v>
      </c>
      <c r="P329" s="22">
        <f t="shared" si="12"/>
        <v>1</v>
      </c>
      <c r="Q329" s="22">
        <f t="shared" si="13"/>
        <v>973</v>
      </c>
      <c r="R329" s="22">
        <f t="shared" si="14"/>
        <v>973</v>
      </c>
    </row>
    <row r="330" spans="1:18" x14ac:dyDescent="0.2">
      <c r="A330" s="567">
        <v>2939</v>
      </c>
      <c r="B330" s="568" t="s">
        <v>3278</v>
      </c>
      <c r="C330" s="568" t="s">
        <v>3277</v>
      </c>
      <c r="D330" s="567">
        <v>8451</v>
      </c>
      <c r="E330" s="567">
        <v>140</v>
      </c>
      <c r="F330" s="567">
        <v>12</v>
      </c>
      <c r="G330" s="567">
        <v>425</v>
      </c>
      <c r="H330" s="567">
        <v>4170</v>
      </c>
      <c r="O330" s="568" t="s">
        <v>1981</v>
      </c>
      <c r="P330" s="22">
        <f t="shared" si="12"/>
        <v>2</v>
      </c>
      <c r="Q330" s="22">
        <f t="shared" si="13"/>
        <v>974</v>
      </c>
      <c r="R330" s="22">
        <f t="shared" si="14"/>
        <v>975</v>
      </c>
    </row>
    <row r="331" spans="1:18" x14ac:dyDescent="0.2">
      <c r="A331" s="567">
        <v>2938</v>
      </c>
      <c r="B331" s="568" t="s">
        <v>3278</v>
      </c>
      <c r="C331" s="568" t="s">
        <v>3279</v>
      </c>
      <c r="D331" s="567">
        <v>8450</v>
      </c>
      <c r="E331" s="567">
        <v>140</v>
      </c>
      <c r="F331" s="567">
        <v>12</v>
      </c>
      <c r="G331" s="567">
        <v>425</v>
      </c>
      <c r="H331" s="567">
        <v>4170</v>
      </c>
      <c r="O331" s="568" t="s">
        <v>3150</v>
      </c>
      <c r="P331" s="22">
        <f t="shared" si="12"/>
        <v>5</v>
      </c>
      <c r="Q331" s="22">
        <f t="shared" si="13"/>
        <v>976</v>
      </c>
      <c r="R331" s="22">
        <f t="shared" si="14"/>
        <v>980</v>
      </c>
    </row>
    <row r="332" spans="1:18" x14ac:dyDescent="0.2">
      <c r="A332" s="567">
        <v>1170</v>
      </c>
      <c r="B332" s="568" t="s">
        <v>1394</v>
      </c>
      <c r="C332" s="568" t="s">
        <v>1394</v>
      </c>
      <c r="D332" s="567">
        <v>3065</v>
      </c>
      <c r="E332" s="567">
        <v>6</v>
      </c>
      <c r="F332" s="567">
        <v>2</v>
      </c>
      <c r="G332" s="567">
        <v>226</v>
      </c>
      <c r="H332" s="567">
        <v>2130</v>
      </c>
      <c r="O332" s="568" t="s">
        <v>2122</v>
      </c>
      <c r="P332" s="22">
        <f t="shared" si="12"/>
        <v>5</v>
      </c>
      <c r="Q332" s="22">
        <f t="shared" si="13"/>
        <v>981</v>
      </c>
      <c r="R332" s="22">
        <f t="shared" si="14"/>
        <v>985</v>
      </c>
    </row>
    <row r="333" spans="1:18" x14ac:dyDescent="0.2">
      <c r="A333" s="567">
        <v>2196</v>
      </c>
      <c r="B333" s="568" t="s">
        <v>2455</v>
      </c>
      <c r="C333" s="568" t="s">
        <v>2455</v>
      </c>
      <c r="D333" s="567">
        <v>6330</v>
      </c>
      <c r="E333" s="567">
        <v>4</v>
      </c>
      <c r="F333" s="567">
        <v>15</v>
      </c>
      <c r="G333" s="567">
        <v>327</v>
      </c>
      <c r="H333" s="567">
        <v>3170</v>
      </c>
      <c r="O333" s="568" t="s">
        <v>1575</v>
      </c>
      <c r="P333" s="22">
        <f t="shared" si="12"/>
        <v>1</v>
      </c>
      <c r="Q333" s="22">
        <f t="shared" si="13"/>
        <v>986</v>
      </c>
      <c r="R333" s="22">
        <f t="shared" si="14"/>
        <v>986</v>
      </c>
    </row>
    <row r="334" spans="1:18" x14ac:dyDescent="0.2">
      <c r="A334" s="567">
        <v>958</v>
      </c>
      <c r="B334" s="568" t="s">
        <v>117</v>
      </c>
      <c r="C334" s="568" t="s">
        <v>117</v>
      </c>
      <c r="D334" s="567">
        <v>2485</v>
      </c>
      <c r="E334" s="567">
        <v>7</v>
      </c>
      <c r="F334" s="567">
        <v>14</v>
      </c>
      <c r="G334" s="567">
        <v>136</v>
      </c>
      <c r="H334" s="567">
        <v>1101</v>
      </c>
      <c r="O334" s="568" t="s">
        <v>2446</v>
      </c>
      <c r="P334" s="22">
        <f t="shared" si="12"/>
        <v>1</v>
      </c>
      <c r="Q334" s="22">
        <f t="shared" si="13"/>
        <v>987</v>
      </c>
      <c r="R334" s="22">
        <f t="shared" si="14"/>
        <v>987</v>
      </c>
    </row>
    <row r="335" spans="1:18" x14ac:dyDescent="0.2">
      <c r="A335" s="567">
        <v>443</v>
      </c>
      <c r="B335" s="568" t="s">
        <v>603</v>
      </c>
      <c r="C335" s="568" t="s">
        <v>603</v>
      </c>
      <c r="D335" s="567">
        <v>840</v>
      </c>
      <c r="E335" s="567">
        <v>8</v>
      </c>
      <c r="F335" s="567">
        <v>2</v>
      </c>
      <c r="G335" s="567">
        <v>125</v>
      </c>
      <c r="H335" s="567">
        <v>1150</v>
      </c>
      <c r="O335" s="568" t="s">
        <v>2071</v>
      </c>
      <c r="P335" s="22">
        <f t="shared" ref="P335:P398" si="15">COUNTIF($B$13:$B$3400,O335)</f>
        <v>1</v>
      </c>
      <c r="Q335" s="22">
        <f t="shared" si="13"/>
        <v>988</v>
      </c>
      <c r="R335" s="22">
        <f t="shared" si="14"/>
        <v>988</v>
      </c>
    </row>
    <row r="336" spans="1:18" x14ac:dyDescent="0.2">
      <c r="A336" s="567">
        <v>444</v>
      </c>
      <c r="B336" s="568" t="s">
        <v>603</v>
      </c>
      <c r="C336" s="568" t="s">
        <v>607</v>
      </c>
      <c r="D336" s="567">
        <v>841</v>
      </c>
      <c r="E336" s="567">
        <v>8</v>
      </c>
      <c r="F336" s="567">
        <v>2</v>
      </c>
      <c r="G336" s="567">
        <v>125</v>
      </c>
      <c r="H336" s="567">
        <v>1150</v>
      </c>
      <c r="O336" s="568" t="s">
        <v>2800</v>
      </c>
      <c r="P336" s="22">
        <f t="shared" si="15"/>
        <v>2</v>
      </c>
      <c r="Q336" s="22">
        <f t="shared" si="13"/>
        <v>989</v>
      </c>
      <c r="R336" s="22">
        <f t="shared" si="14"/>
        <v>990</v>
      </c>
    </row>
    <row r="337" spans="1:18" x14ac:dyDescent="0.2">
      <c r="A337" s="567">
        <v>2853</v>
      </c>
      <c r="B337" s="568" t="s">
        <v>3217</v>
      </c>
      <c r="C337" s="568" t="s">
        <v>3217</v>
      </c>
      <c r="D337" s="567">
        <v>8225</v>
      </c>
      <c r="E337" s="567">
        <v>14</v>
      </c>
      <c r="F337" s="567">
        <v>13</v>
      </c>
      <c r="G337" s="567">
        <v>425</v>
      </c>
      <c r="H337" s="567">
        <v>4170</v>
      </c>
      <c r="O337" s="568" t="s">
        <v>1794</v>
      </c>
      <c r="P337" s="22">
        <f t="shared" si="15"/>
        <v>5</v>
      </c>
      <c r="Q337" s="22">
        <f t="shared" ref="Q337:Q400" si="16">R336+1</f>
        <v>991</v>
      </c>
      <c r="R337" s="22">
        <f t="shared" ref="R337:R400" si="17">R336+P337</f>
        <v>995</v>
      </c>
    </row>
    <row r="338" spans="1:18" x14ac:dyDescent="0.2">
      <c r="A338" s="567">
        <v>797</v>
      </c>
      <c r="B338" s="568" t="s">
        <v>840</v>
      </c>
      <c r="C338" s="568" t="s">
        <v>840</v>
      </c>
      <c r="D338" s="567">
        <v>1935</v>
      </c>
      <c r="E338" s="567">
        <v>8</v>
      </c>
      <c r="F338" s="567">
        <v>2</v>
      </c>
      <c r="G338" s="567">
        <v>116</v>
      </c>
      <c r="H338" s="567">
        <v>1180</v>
      </c>
      <c r="O338" s="568" t="s">
        <v>1099</v>
      </c>
      <c r="P338" s="22">
        <f t="shared" si="15"/>
        <v>8</v>
      </c>
      <c r="Q338" s="22">
        <f t="shared" si="16"/>
        <v>996</v>
      </c>
      <c r="R338" s="22">
        <f t="shared" si="17"/>
        <v>1003</v>
      </c>
    </row>
    <row r="339" spans="1:18" x14ac:dyDescent="0.2">
      <c r="A339" s="567">
        <v>798</v>
      </c>
      <c r="B339" s="568" t="s">
        <v>840</v>
      </c>
      <c r="C339" s="568" t="s">
        <v>850</v>
      </c>
      <c r="D339" s="567">
        <v>1936</v>
      </c>
      <c r="E339" s="567">
        <v>8</v>
      </c>
      <c r="F339" s="567">
        <v>2</v>
      </c>
      <c r="G339" s="567">
        <v>116</v>
      </c>
      <c r="H339" s="567">
        <v>1180</v>
      </c>
      <c r="O339" s="568" t="s">
        <v>1407</v>
      </c>
      <c r="P339" s="22">
        <f t="shared" si="15"/>
        <v>1</v>
      </c>
      <c r="Q339" s="22">
        <f t="shared" si="16"/>
        <v>1004</v>
      </c>
      <c r="R339" s="22">
        <f t="shared" si="17"/>
        <v>1004</v>
      </c>
    </row>
    <row r="340" spans="1:18" x14ac:dyDescent="0.2">
      <c r="A340" s="567">
        <v>511</v>
      </c>
      <c r="B340" s="568" t="s">
        <v>789</v>
      </c>
      <c r="C340" s="568" t="s">
        <v>788</v>
      </c>
      <c r="D340" s="567">
        <v>1025</v>
      </c>
      <c r="E340" s="567">
        <v>6</v>
      </c>
      <c r="F340" s="567">
        <v>1</v>
      </c>
      <c r="G340" s="567">
        <v>118</v>
      </c>
      <c r="H340" s="567">
        <v>1170</v>
      </c>
      <c r="O340" s="568" t="s">
        <v>2326</v>
      </c>
      <c r="P340" s="22">
        <f t="shared" si="15"/>
        <v>4</v>
      </c>
      <c r="Q340" s="22">
        <f t="shared" si="16"/>
        <v>1005</v>
      </c>
      <c r="R340" s="22">
        <f t="shared" si="17"/>
        <v>1008</v>
      </c>
    </row>
    <row r="341" spans="1:18" x14ac:dyDescent="0.2">
      <c r="A341" s="567">
        <v>3281</v>
      </c>
      <c r="B341" s="568" t="s">
        <v>2793</v>
      </c>
      <c r="C341" s="568" t="s">
        <v>2793</v>
      </c>
      <c r="D341" s="567">
        <v>9550</v>
      </c>
      <c r="E341" s="567">
        <v>13</v>
      </c>
      <c r="F341" s="567">
        <v>11</v>
      </c>
      <c r="G341" s="567">
        <v>436</v>
      </c>
      <c r="H341" s="567">
        <v>4120</v>
      </c>
      <c r="O341" s="568" t="s">
        <v>1084</v>
      </c>
      <c r="P341" s="22">
        <f t="shared" si="15"/>
        <v>4</v>
      </c>
      <c r="Q341" s="22">
        <f t="shared" si="16"/>
        <v>1009</v>
      </c>
      <c r="R341" s="22">
        <f t="shared" si="17"/>
        <v>1012</v>
      </c>
    </row>
    <row r="342" spans="1:18" x14ac:dyDescent="0.2">
      <c r="A342" s="567">
        <v>3249</v>
      </c>
      <c r="B342" s="568" t="s">
        <v>2842</v>
      </c>
      <c r="C342" s="568" t="s">
        <v>2842</v>
      </c>
      <c r="D342" s="567">
        <v>9420</v>
      </c>
      <c r="E342" s="567">
        <v>14</v>
      </c>
      <c r="F342" s="567">
        <v>11</v>
      </c>
      <c r="G342" s="567">
        <v>436</v>
      </c>
      <c r="H342" s="567">
        <v>4120</v>
      </c>
      <c r="O342" s="568" t="s">
        <v>2355</v>
      </c>
      <c r="P342" s="22">
        <f t="shared" si="15"/>
        <v>1</v>
      </c>
      <c r="Q342" s="22">
        <f t="shared" si="16"/>
        <v>1013</v>
      </c>
      <c r="R342" s="22">
        <f t="shared" si="17"/>
        <v>1013</v>
      </c>
    </row>
    <row r="343" spans="1:18" x14ac:dyDescent="0.2">
      <c r="A343" s="567">
        <v>1760</v>
      </c>
      <c r="B343" s="568" t="s">
        <v>2121</v>
      </c>
      <c r="C343" s="568" t="s">
        <v>2121</v>
      </c>
      <c r="D343" s="567">
        <v>4830</v>
      </c>
      <c r="E343" s="567">
        <v>9</v>
      </c>
      <c r="F343" s="567">
        <v>3</v>
      </c>
      <c r="G343" s="567">
        <v>317</v>
      </c>
      <c r="H343" s="567">
        <v>3140</v>
      </c>
      <c r="O343" s="568" t="s">
        <v>426</v>
      </c>
      <c r="P343" s="22">
        <f t="shared" si="15"/>
        <v>1</v>
      </c>
      <c r="Q343" s="22">
        <f t="shared" si="16"/>
        <v>1014</v>
      </c>
      <c r="R343" s="22">
        <f t="shared" si="17"/>
        <v>1014</v>
      </c>
    </row>
    <row r="344" spans="1:18" x14ac:dyDescent="0.2">
      <c r="A344" s="567">
        <v>2876</v>
      </c>
      <c r="B344" s="568" t="s">
        <v>3287</v>
      </c>
      <c r="C344" s="568" t="s">
        <v>3287</v>
      </c>
      <c r="D344" s="567">
        <v>8290</v>
      </c>
      <c r="E344" s="567">
        <v>17</v>
      </c>
      <c r="F344" s="567">
        <v>14</v>
      </c>
      <c r="G344" s="567">
        <v>425</v>
      </c>
      <c r="H344" s="567">
        <v>4170</v>
      </c>
      <c r="O344" s="568" t="s">
        <v>3098</v>
      </c>
      <c r="P344" s="22">
        <f t="shared" si="15"/>
        <v>5</v>
      </c>
      <c r="Q344" s="22">
        <f t="shared" si="16"/>
        <v>1015</v>
      </c>
      <c r="R344" s="22">
        <f t="shared" si="17"/>
        <v>1019</v>
      </c>
    </row>
    <row r="345" spans="1:18" x14ac:dyDescent="0.2">
      <c r="A345" s="567">
        <v>2877</v>
      </c>
      <c r="B345" s="568" t="s">
        <v>3287</v>
      </c>
      <c r="C345" s="568" t="s">
        <v>3288</v>
      </c>
      <c r="D345" s="567">
        <v>8291</v>
      </c>
      <c r="E345" s="567">
        <v>17</v>
      </c>
      <c r="F345" s="567">
        <v>14</v>
      </c>
      <c r="G345" s="567">
        <v>425</v>
      </c>
      <c r="H345" s="567">
        <v>4170</v>
      </c>
      <c r="O345" s="568" t="s">
        <v>678</v>
      </c>
      <c r="P345" s="22">
        <f t="shared" si="15"/>
        <v>2</v>
      </c>
      <c r="Q345" s="22">
        <f t="shared" si="16"/>
        <v>1020</v>
      </c>
      <c r="R345" s="22">
        <f t="shared" si="17"/>
        <v>1021</v>
      </c>
    </row>
    <row r="346" spans="1:18" x14ac:dyDescent="0.2">
      <c r="A346" s="567">
        <v>624</v>
      </c>
      <c r="B346" s="568" t="s">
        <v>164</v>
      </c>
      <c r="C346" s="568" t="s">
        <v>163</v>
      </c>
      <c r="D346" s="567">
        <v>1363</v>
      </c>
      <c r="E346" s="567">
        <v>89</v>
      </c>
      <c r="F346" s="567">
        <v>19</v>
      </c>
      <c r="G346" s="567">
        <v>119</v>
      </c>
      <c r="H346" s="567">
        <v>1110</v>
      </c>
      <c r="O346" s="568" t="s">
        <v>680</v>
      </c>
      <c r="P346" s="22">
        <f t="shared" si="15"/>
        <v>3</v>
      </c>
      <c r="Q346" s="22">
        <f t="shared" si="16"/>
        <v>1022</v>
      </c>
      <c r="R346" s="22">
        <f t="shared" si="17"/>
        <v>1024</v>
      </c>
    </row>
    <row r="347" spans="1:18" x14ac:dyDescent="0.2">
      <c r="A347" s="567">
        <v>623</v>
      </c>
      <c r="B347" s="568" t="s">
        <v>164</v>
      </c>
      <c r="C347" s="568" t="s">
        <v>165</v>
      </c>
      <c r="D347" s="567">
        <v>1362</v>
      </c>
      <c r="E347" s="567">
        <v>89</v>
      </c>
      <c r="F347" s="567">
        <v>19</v>
      </c>
      <c r="G347" s="567">
        <v>119</v>
      </c>
      <c r="H347" s="567">
        <v>1110</v>
      </c>
      <c r="O347" s="568" t="s">
        <v>1676</v>
      </c>
      <c r="P347" s="22">
        <f t="shared" si="15"/>
        <v>1</v>
      </c>
      <c r="Q347" s="22">
        <f t="shared" si="16"/>
        <v>1025</v>
      </c>
      <c r="R347" s="22">
        <f t="shared" si="17"/>
        <v>1025</v>
      </c>
    </row>
    <row r="348" spans="1:18" x14ac:dyDescent="0.2">
      <c r="A348" s="567">
        <v>622</v>
      </c>
      <c r="B348" s="568" t="s">
        <v>164</v>
      </c>
      <c r="C348" s="568" t="s">
        <v>166</v>
      </c>
      <c r="D348" s="567">
        <v>1361</v>
      </c>
      <c r="E348" s="567">
        <v>89</v>
      </c>
      <c r="F348" s="567">
        <v>19</v>
      </c>
      <c r="G348" s="567">
        <v>119</v>
      </c>
      <c r="H348" s="567">
        <v>1110</v>
      </c>
      <c r="O348" s="568" t="s">
        <v>741</v>
      </c>
      <c r="P348" s="22">
        <f t="shared" si="15"/>
        <v>5</v>
      </c>
      <c r="Q348" s="22">
        <f t="shared" si="16"/>
        <v>1026</v>
      </c>
      <c r="R348" s="22">
        <f t="shared" si="17"/>
        <v>1030</v>
      </c>
    </row>
    <row r="349" spans="1:18" x14ac:dyDescent="0.2">
      <c r="A349" s="567">
        <v>621</v>
      </c>
      <c r="B349" s="568" t="s">
        <v>164</v>
      </c>
      <c r="C349" s="568" t="s">
        <v>167</v>
      </c>
      <c r="D349" s="567">
        <v>1360</v>
      </c>
      <c r="E349" s="567">
        <v>89</v>
      </c>
      <c r="F349" s="567">
        <v>19</v>
      </c>
      <c r="G349" s="567">
        <v>119</v>
      </c>
      <c r="H349" s="567">
        <v>1110</v>
      </c>
      <c r="O349" s="568" t="s">
        <v>84</v>
      </c>
      <c r="P349" s="22">
        <f t="shared" si="15"/>
        <v>3</v>
      </c>
      <c r="Q349" s="22">
        <f t="shared" si="16"/>
        <v>1031</v>
      </c>
      <c r="R349" s="22">
        <f t="shared" si="17"/>
        <v>1033</v>
      </c>
    </row>
    <row r="350" spans="1:18" x14ac:dyDescent="0.2">
      <c r="A350" s="567">
        <v>620</v>
      </c>
      <c r="B350" s="568" t="s">
        <v>164</v>
      </c>
      <c r="C350" s="568" t="s">
        <v>168</v>
      </c>
      <c r="D350" s="567">
        <v>1359</v>
      </c>
      <c r="E350" s="567">
        <v>89</v>
      </c>
      <c r="F350" s="567">
        <v>19</v>
      </c>
      <c r="G350" s="567">
        <v>119</v>
      </c>
      <c r="H350" s="567">
        <v>1110</v>
      </c>
      <c r="O350" s="568" t="s">
        <v>422</v>
      </c>
      <c r="P350" s="22">
        <f t="shared" si="15"/>
        <v>7</v>
      </c>
      <c r="Q350" s="22">
        <f t="shared" si="16"/>
        <v>1034</v>
      </c>
      <c r="R350" s="22">
        <f t="shared" si="17"/>
        <v>1040</v>
      </c>
    </row>
    <row r="351" spans="1:18" x14ac:dyDescent="0.2">
      <c r="A351" s="567">
        <v>619</v>
      </c>
      <c r="B351" s="568" t="s">
        <v>164</v>
      </c>
      <c r="C351" s="568" t="s">
        <v>169</v>
      </c>
      <c r="D351" s="567">
        <v>1358</v>
      </c>
      <c r="E351" s="567">
        <v>89</v>
      </c>
      <c r="F351" s="567">
        <v>19</v>
      </c>
      <c r="G351" s="567">
        <v>119</v>
      </c>
      <c r="H351" s="567">
        <v>1110</v>
      </c>
      <c r="O351" s="568" t="s">
        <v>534</v>
      </c>
      <c r="P351" s="22">
        <f t="shared" si="15"/>
        <v>2</v>
      </c>
      <c r="Q351" s="22">
        <f t="shared" si="16"/>
        <v>1041</v>
      </c>
      <c r="R351" s="22">
        <f t="shared" si="17"/>
        <v>1042</v>
      </c>
    </row>
    <row r="352" spans="1:18" x14ac:dyDescent="0.2">
      <c r="A352" s="567">
        <v>618</v>
      </c>
      <c r="B352" s="568" t="s">
        <v>164</v>
      </c>
      <c r="C352" s="568" t="s">
        <v>170</v>
      </c>
      <c r="D352" s="567">
        <v>1357</v>
      </c>
      <c r="E352" s="567">
        <v>89</v>
      </c>
      <c r="F352" s="567">
        <v>19</v>
      </c>
      <c r="G352" s="567">
        <v>119</v>
      </c>
      <c r="H352" s="567">
        <v>1110</v>
      </c>
      <c r="O352" s="568" t="s">
        <v>777</v>
      </c>
      <c r="P352" s="22">
        <f t="shared" si="15"/>
        <v>1</v>
      </c>
      <c r="Q352" s="22">
        <f t="shared" si="16"/>
        <v>1043</v>
      </c>
      <c r="R352" s="22">
        <f t="shared" si="17"/>
        <v>1043</v>
      </c>
    </row>
    <row r="353" spans="1:18" x14ac:dyDescent="0.2">
      <c r="A353" s="567">
        <v>616</v>
      </c>
      <c r="B353" s="568" t="s">
        <v>164</v>
      </c>
      <c r="C353" s="568" t="s">
        <v>172</v>
      </c>
      <c r="D353" s="567">
        <v>1355</v>
      </c>
      <c r="E353" s="567">
        <v>89</v>
      </c>
      <c r="F353" s="567">
        <v>19</v>
      </c>
      <c r="G353" s="567">
        <v>119</v>
      </c>
      <c r="H353" s="567">
        <v>1110</v>
      </c>
      <c r="O353" s="568" t="s">
        <v>2119</v>
      </c>
      <c r="P353" s="22">
        <f t="shared" si="15"/>
        <v>4</v>
      </c>
      <c r="Q353" s="22">
        <f t="shared" si="16"/>
        <v>1044</v>
      </c>
      <c r="R353" s="22">
        <f t="shared" si="17"/>
        <v>1047</v>
      </c>
    </row>
    <row r="354" spans="1:18" x14ac:dyDescent="0.2">
      <c r="A354" s="567">
        <v>617</v>
      </c>
      <c r="B354" s="568" t="s">
        <v>164</v>
      </c>
      <c r="C354" s="568" t="s">
        <v>183</v>
      </c>
      <c r="D354" s="567">
        <v>1356</v>
      </c>
      <c r="E354" s="567">
        <v>89</v>
      </c>
      <c r="F354" s="567">
        <v>19</v>
      </c>
      <c r="G354" s="567">
        <v>119</v>
      </c>
      <c r="H354" s="567">
        <v>1110</v>
      </c>
      <c r="O354" s="568" t="s">
        <v>1050</v>
      </c>
      <c r="P354" s="22">
        <f t="shared" si="15"/>
        <v>4</v>
      </c>
      <c r="Q354" s="22">
        <f t="shared" si="16"/>
        <v>1048</v>
      </c>
      <c r="R354" s="22">
        <f t="shared" si="17"/>
        <v>1051</v>
      </c>
    </row>
    <row r="355" spans="1:18" x14ac:dyDescent="0.2">
      <c r="A355" s="567">
        <v>3085</v>
      </c>
      <c r="B355" s="568" t="s">
        <v>2734</v>
      </c>
      <c r="C355" s="568" t="s">
        <v>2734</v>
      </c>
      <c r="D355" s="567">
        <v>8930</v>
      </c>
      <c r="E355" s="567">
        <v>19</v>
      </c>
      <c r="F355" s="567">
        <v>11</v>
      </c>
      <c r="G355" s="567">
        <v>426</v>
      </c>
      <c r="H355" s="567">
        <v>4110</v>
      </c>
      <c r="O355" s="568" t="s">
        <v>725</v>
      </c>
      <c r="P355" s="22">
        <f t="shared" si="15"/>
        <v>1</v>
      </c>
      <c r="Q355" s="22">
        <f t="shared" si="16"/>
        <v>1052</v>
      </c>
      <c r="R355" s="22">
        <f t="shared" si="17"/>
        <v>1052</v>
      </c>
    </row>
    <row r="356" spans="1:18" x14ac:dyDescent="0.2">
      <c r="A356" s="567">
        <v>3362</v>
      </c>
      <c r="B356" s="568" t="s">
        <v>3171</v>
      </c>
      <c r="C356" s="568" t="s">
        <v>3170</v>
      </c>
      <c r="D356" s="567">
        <v>9821</v>
      </c>
      <c r="E356" s="567">
        <v>5</v>
      </c>
      <c r="F356" s="567">
        <v>4</v>
      </c>
      <c r="G356" s="567">
        <v>435</v>
      </c>
      <c r="H356" s="567">
        <v>4160</v>
      </c>
      <c r="O356" s="568" t="s">
        <v>1106</v>
      </c>
      <c r="P356" s="22">
        <f t="shared" si="15"/>
        <v>6</v>
      </c>
      <c r="Q356" s="22">
        <f t="shared" si="16"/>
        <v>1053</v>
      </c>
      <c r="R356" s="22">
        <f t="shared" si="17"/>
        <v>1058</v>
      </c>
    </row>
    <row r="357" spans="1:18" x14ac:dyDescent="0.2">
      <c r="A357" s="567">
        <v>3361</v>
      </c>
      <c r="B357" s="568" t="s">
        <v>3171</v>
      </c>
      <c r="C357" s="568" t="s">
        <v>3171</v>
      </c>
      <c r="D357" s="567">
        <v>9820</v>
      </c>
      <c r="E357" s="567">
        <v>5</v>
      </c>
      <c r="F357" s="567">
        <v>4</v>
      </c>
      <c r="G357" s="567">
        <v>435</v>
      </c>
      <c r="H357" s="567">
        <v>4160</v>
      </c>
      <c r="O357" s="568" t="s">
        <v>482</v>
      </c>
      <c r="P357" s="22">
        <f t="shared" si="15"/>
        <v>5</v>
      </c>
      <c r="Q357" s="22">
        <f t="shared" si="16"/>
        <v>1059</v>
      </c>
      <c r="R357" s="22">
        <f t="shared" si="17"/>
        <v>1063</v>
      </c>
    </row>
    <row r="358" spans="1:18" x14ac:dyDescent="0.2">
      <c r="A358" s="567">
        <v>2363</v>
      </c>
      <c r="B358" s="568" t="s">
        <v>2535</v>
      </c>
      <c r="C358" s="568" t="s">
        <v>2535</v>
      </c>
      <c r="D358" s="567">
        <v>6795</v>
      </c>
      <c r="E358" s="567">
        <v>13</v>
      </c>
      <c r="F358" s="567">
        <v>6</v>
      </c>
      <c r="G358" s="567">
        <v>337</v>
      </c>
      <c r="H358" s="567">
        <v>3180</v>
      </c>
      <c r="O358" s="568" t="s">
        <v>480</v>
      </c>
      <c r="P358" s="22">
        <f t="shared" si="15"/>
        <v>5</v>
      </c>
      <c r="Q358" s="22">
        <f t="shared" si="16"/>
        <v>1064</v>
      </c>
      <c r="R358" s="22">
        <f t="shared" si="17"/>
        <v>1068</v>
      </c>
    </row>
    <row r="359" spans="1:18" x14ac:dyDescent="0.2">
      <c r="A359" s="567">
        <v>2843</v>
      </c>
      <c r="B359" s="568" t="s">
        <v>3257</v>
      </c>
      <c r="C359" s="568" t="s">
        <v>3257</v>
      </c>
      <c r="D359" s="567">
        <v>8180</v>
      </c>
      <c r="E359" s="567">
        <v>19</v>
      </c>
      <c r="F359" s="567">
        <v>13</v>
      </c>
      <c r="G359" s="567">
        <v>425</v>
      </c>
      <c r="H359" s="567">
        <v>4170</v>
      </c>
      <c r="O359" s="568" t="s">
        <v>470</v>
      </c>
      <c r="P359" s="22">
        <f t="shared" si="15"/>
        <v>1</v>
      </c>
      <c r="Q359" s="22">
        <f t="shared" si="16"/>
        <v>1069</v>
      </c>
      <c r="R359" s="22">
        <f t="shared" si="17"/>
        <v>1069</v>
      </c>
    </row>
    <row r="360" spans="1:18" x14ac:dyDescent="0.2">
      <c r="A360" s="567">
        <v>489</v>
      </c>
      <c r="B360" s="568" t="s">
        <v>771</v>
      </c>
      <c r="C360" s="568" t="s">
        <v>770</v>
      </c>
      <c r="D360" s="567">
        <v>961</v>
      </c>
      <c r="E360" s="567">
        <v>7</v>
      </c>
      <c r="F360" s="567">
        <v>1</v>
      </c>
      <c r="G360" s="567">
        <v>118</v>
      </c>
      <c r="H360" s="567">
        <v>1170</v>
      </c>
      <c r="O360" s="568" t="s">
        <v>1232</v>
      </c>
      <c r="P360" s="22">
        <f t="shared" si="15"/>
        <v>3</v>
      </c>
      <c r="Q360" s="22">
        <f t="shared" si="16"/>
        <v>1070</v>
      </c>
      <c r="R360" s="22">
        <f t="shared" si="17"/>
        <v>1072</v>
      </c>
    </row>
    <row r="361" spans="1:18" x14ac:dyDescent="0.2">
      <c r="A361" s="567">
        <v>488</v>
      </c>
      <c r="B361" s="568" t="s">
        <v>771</v>
      </c>
      <c r="C361" s="568" t="s">
        <v>771</v>
      </c>
      <c r="D361" s="567">
        <v>960</v>
      </c>
      <c r="E361" s="567">
        <v>7</v>
      </c>
      <c r="F361" s="567">
        <v>1</v>
      </c>
      <c r="G361" s="567">
        <v>118</v>
      </c>
      <c r="H361" s="567">
        <v>1170</v>
      </c>
      <c r="O361" s="568" t="s">
        <v>1938</v>
      </c>
      <c r="P361" s="22">
        <f t="shared" si="15"/>
        <v>4</v>
      </c>
      <c r="Q361" s="22">
        <f t="shared" si="16"/>
        <v>1073</v>
      </c>
      <c r="R361" s="22">
        <f t="shared" si="17"/>
        <v>1076</v>
      </c>
    </row>
    <row r="362" spans="1:18" x14ac:dyDescent="0.2">
      <c r="A362" s="567">
        <v>3034</v>
      </c>
      <c r="B362" s="568" t="s">
        <v>2718</v>
      </c>
      <c r="C362" s="568" t="s">
        <v>2718</v>
      </c>
      <c r="D362" s="567">
        <v>8720</v>
      </c>
      <c r="E362" s="567">
        <v>20</v>
      </c>
      <c r="F362" s="567">
        <v>11</v>
      </c>
      <c r="G362" s="567">
        <v>426</v>
      </c>
      <c r="H362" s="567">
        <v>4110</v>
      </c>
      <c r="O362" s="568" t="s">
        <v>72</v>
      </c>
      <c r="P362" s="22">
        <f t="shared" si="15"/>
        <v>1</v>
      </c>
      <c r="Q362" s="22">
        <f t="shared" si="16"/>
        <v>1077</v>
      </c>
      <c r="R362" s="22">
        <f t="shared" si="17"/>
        <v>1077</v>
      </c>
    </row>
    <row r="363" spans="1:18" x14ac:dyDescent="0.2">
      <c r="A363" s="567">
        <v>1649</v>
      </c>
      <c r="B363" s="568" t="s">
        <v>1198</v>
      </c>
      <c r="C363" s="568" t="s">
        <v>1197</v>
      </c>
      <c r="D363" s="567">
        <v>4521</v>
      </c>
      <c r="E363" s="567">
        <v>8</v>
      </c>
      <c r="F363" s="567">
        <v>17</v>
      </c>
      <c r="G363" s="567">
        <v>237</v>
      </c>
      <c r="H363" s="567">
        <v>2110</v>
      </c>
      <c r="O363" s="568" t="s">
        <v>2885</v>
      </c>
      <c r="P363" s="22">
        <f t="shared" si="15"/>
        <v>3</v>
      </c>
      <c r="Q363" s="22">
        <f t="shared" si="16"/>
        <v>1078</v>
      </c>
      <c r="R363" s="22">
        <f t="shared" si="17"/>
        <v>1080</v>
      </c>
    </row>
    <row r="364" spans="1:18" x14ac:dyDescent="0.2">
      <c r="A364" s="567">
        <v>1648</v>
      </c>
      <c r="B364" s="568" t="s">
        <v>1198</v>
      </c>
      <c r="C364" s="568" t="s">
        <v>1202</v>
      </c>
      <c r="D364" s="567">
        <v>4520</v>
      </c>
      <c r="E364" s="567">
        <v>8</v>
      </c>
      <c r="F364" s="567">
        <v>17</v>
      </c>
      <c r="G364" s="567">
        <v>237</v>
      </c>
      <c r="H364" s="567">
        <v>2110</v>
      </c>
      <c r="O364" s="568" t="s">
        <v>3000</v>
      </c>
      <c r="P364" s="22">
        <f t="shared" si="15"/>
        <v>2</v>
      </c>
      <c r="Q364" s="22">
        <f t="shared" si="16"/>
        <v>1081</v>
      </c>
      <c r="R364" s="22">
        <f t="shared" si="17"/>
        <v>1082</v>
      </c>
    </row>
    <row r="365" spans="1:18" x14ac:dyDescent="0.2">
      <c r="A365" s="567">
        <v>799</v>
      </c>
      <c r="B365" s="568" t="s">
        <v>838</v>
      </c>
      <c r="C365" s="568" t="s">
        <v>838</v>
      </c>
      <c r="D365" s="567">
        <v>1945</v>
      </c>
      <c r="E365" s="567">
        <v>11</v>
      </c>
      <c r="F365" s="567">
        <v>18</v>
      </c>
      <c r="G365" s="567">
        <v>116</v>
      </c>
      <c r="H365" s="567">
        <v>1180</v>
      </c>
      <c r="O365" s="568" t="s">
        <v>1353</v>
      </c>
      <c r="P365" s="22">
        <f t="shared" si="15"/>
        <v>1</v>
      </c>
      <c r="Q365" s="22">
        <f t="shared" si="16"/>
        <v>1083</v>
      </c>
      <c r="R365" s="22">
        <f t="shared" si="17"/>
        <v>1083</v>
      </c>
    </row>
    <row r="366" spans="1:18" x14ac:dyDescent="0.2">
      <c r="A366" s="567">
        <v>3125</v>
      </c>
      <c r="B366" s="568" t="s">
        <v>3116</v>
      </c>
      <c r="C366" s="568" t="s">
        <v>3116</v>
      </c>
      <c r="D366" s="567">
        <v>9050</v>
      </c>
      <c r="E366" s="567">
        <v>5</v>
      </c>
      <c r="F366" s="567">
        <v>14</v>
      </c>
      <c r="G366" s="567">
        <v>437</v>
      </c>
      <c r="H366" s="567">
        <v>4151</v>
      </c>
      <c r="O366" s="568" t="s">
        <v>455</v>
      </c>
      <c r="P366" s="22">
        <f t="shared" si="15"/>
        <v>5</v>
      </c>
      <c r="Q366" s="22">
        <f t="shared" si="16"/>
        <v>1084</v>
      </c>
      <c r="R366" s="22">
        <f t="shared" si="17"/>
        <v>1088</v>
      </c>
    </row>
    <row r="367" spans="1:18" x14ac:dyDescent="0.2">
      <c r="A367" s="567">
        <v>3126</v>
      </c>
      <c r="B367" s="568" t="s">
        <v>3116</v>
      </c>
      <c r="C367" s="568" t="s">
        <v>430</v>
      </c>
      <c r="D367" s="567">
        <v>9051</v>
      </c>
      <c r="E367" s="567">
        <v>5</v>
      </c>
      <c r="F367" s="567">
        <v>14</v>
      </c>
      <c r="G367" s="567">
        <v>437</v>
      </c>
      <c r="H367" s="567">
        <v>4151</v>
      </c>
      <c r="O367" s="568" t="s">
        <v>2567</v>
      </c>
      <c r="P367" s="22">
        <f t="shared" si="15"/>
        <v>9</v>
      </c>
      <c r="Q367" s="22">
        <f t="shared" si="16"/>
        <v>1089</v>
      </c>
      <c r="R367" s="22">
        <f t="shared" si="17"/>
        <v>1097</v>
      </c>
    </row>
    <row r="368" spans="1:18" x14ac:dyDescent="0.2">
      <c r="A368" s="567">
        <v>1753</v>
      </c>
      <c r="B368" s="568" t="s">
        <v>581</v>
      </c>
      <c r="C368" s="568" t="s">
        <v>581</v>
      </c>
      <c r="D368" s="567">
        <v>4800</v>
      </c>
      <c r="E368" s="567">
        <v>11</v>
      </c>
      <c r="F368" s="567">
        <v>5</v>
      </c>
      <c r="G368" s="567">
        <v>317</v>
      </c>
      <c r="H368" s="567">
        <v>3140</v>
      </c>
      <c r="O368" s="568" t="s">
        <v>2442</v>
      </c>
      <c r="P368" s="22">
        <f t="shared" si="15"/>
        <v>1</v>
      </c>
      <c r="Q368" s="22">
        <f t="shared" si="16"/>
        <v>1098</v>
      </c>
      <c r="R368" s="22">
        <f t="shared" si="17"/>
        <v>1098</v>
      </c>
    </row>
    <row r="369" spans="1:18" x14ac:dyDescent="0.2">
      <c r="A369" s="567">
        <v>1754</v>
      </c>
      <c r="B369" s="568" t="s">
        <v>581</v>
      </c>
      <c r="C369" s="568" t="s">
        <v>2153</v>
      </c>
      <c r="D369" s="567">
        <v>4801</v>
      </c>
      <c r="E369" s="567">
        <v>11</v>
      </c>
      <c r="F369" s="567">
        <v>5</v>
      </c>
      <c r="G369" s="567">
        <v>317</v>
      </c>
      <c r="H369" s="567">
        <v>3140</v>
      </c>
      <c r="O369" s="568" t="s">
        <v>1936</v>
      </c>
      <c r="P369" s="22">
        <f t="shared" si="15"/>
        <v>1</v>
      </c>
      <c r="Q369" s="22">
        <f t="shared" si="16"/>
        <v>1099</v>
      </c>
      <c r="R369" s="22">
        <f t="shared" si="17"/>
        <v>1099</v>
      </c>
    </row>
    <row r="370" spans="1:18" x14ac:dyDescent="0.2">
      <c r="A370" s="567">
        <v>3059</v>
      </c>
      <c r="B370" s="568" t="s">
        <v>2782</v>
      </c>
      <c r="C370" s="568" t="s">
        <v>2781</v>
      </c>
      <c r="D370" s="567">
        <v>8814</v>
      </c>
      <c r="E370" s="567">
        <v>21</v>
      </c>
      <c r="F370" s="567">
        <v>11</v>
      </c>
      <c r="G370" s="567">
        <v>426</v>
      </c>
      <c r="H370" s="567">
        <v>4110</v>
      </c>
      <c r="O370" s="568" t="s">
        <v>2339</v>
      </c>
      <c r="P370" s="22">
        <f t="shared" si="15"/>
        <v>4</v>
      </c>
      <c r="Q370" s="22">
        <f t="shared" si="16"/>
        <v>1100</v>
      </c>
      <c r="R370" s="22">
        <f t="shared" si="17"/>
        <v>1103</v>
      </c>
    </row>
    <row r="371" spans="1:18" x14ac:dyDescent="0.2">
      <c r="A371" s="567">
        <v>3058</v>
      </c>
      <c r="B371" s="568" t="s">
        <v>2782</v>
      </c>
      <c r="C371" s="568" t="s">
        <v>2783</v>
      </c>
      <c r="D371" s="567">
        <v>8813</v>
      </c>
      <c r="E371" s="567">
        <v>21</v>
      </c>
      <c r="F371" s="567">
        <v>11</v>
      </c>
      <c r="G371" s="567">
        <v>426</v>
      </c>
      <c r="H371" s="567">
        <v>4110</v>
      </c>
      <c r="O371" s="568" t="s">
        <v>1301</v>
      </c>
      <c r="P371" s="22">
        <f t="shared" si="15"/>
        <v>2</v>
      </c>
      <c r="Q371" s="22">
        <f t="shared" si="16"/>
        <v>1104</v>
      </c>
      <c r="R371" s="22">
        <f t="shared" si="17"/>
        <v>1105</v>
      </c>
    </row>
    <row r="372" spans="1:18" x14ac:dyDescent="0.2">
      <c r="A372" s="567">
        <v>3057</v>
      </c>
      <c r="B372" s="568" t="s">
        <v>2782</v>
      </c>
      <c r="C372" s="568" t="s">
        <v>2784</v>
      </c>
      <c r="D372" s="567">
        <v>8812</v>
      </c>
      <c r="E372" s="567">
        <v>21</v>
      </c>
      <c r="F372" s="567">
        <v>11</v>
      </c>
      <c r="G372" s="567">
        <v>426</v>
      </c>
      <c r="H372" s="567">
        <v>4110</v>
      </c>
      <c r="O372" s="568" t="s">
        <v>2918</v>
      </c>
      <c r="P372" s="22">
        <f t="shared" si="15"/>
        <v>1</v>
      </c>
      <c r="Q372" s="22">
        <f t="shared" si="16"/>
        <v>1106</v>
      </c>
      <c r="R372" s="22">
        <f t="shared" si="17"/>
        <v>1106</v>
      </c>
    </row>
    <row r="373" spans="1:18" x14ac:dyDescent="0.2">
      <c r="A373" s="567">
        <v>3055</v>
      </c>
      <c r="B373" s="568" t="s">
        <v>2782</v>
      </c>
      <c r="C373" s="568" t="s">
        <v>581</v>
      </c>
      <c r="D373" s="567">
        <v>8810</v>
      </c>
      <c r="E373" s="567">
        <v>21</v>
      </c>
      <c r="F373" s="567">
        <v>11</v>
      </c>
      <c r="G373" s="567">
        <v>426</v>
      </c>
      <c r="H373" s="567">
        <v>4110</v>
      </c>
      <c r="O373" s="568" t="s">
        <v>655</v>
      </c>
      <c r="P373" s="22">
        <f t="shared" si="15"/>
        <v>2</v>
      </c>
      <c r="Q373" s="22">
        <f t="shared" si="16"/>
        <v>1107</v>
      </c>
      <c r="R373" s="22">
        <f t="shared" si="17"/>
        <v>1108</v>
      </c>
    </row>
    <row r="374" spans="1:18" x14ac:dyDescent="0.2">
      <c r="A374" s="567">
        <v>3056</v>
      </c>
      <c r="B374" s="568" t="s">
        <v>2782</v>
      </c>
      <c r="C374" s="568" t="s">
        <v>2550</v>
      </c>
      <c r="D374" s="567">
        <v>8811</v>
      </c>
      <c r="E374" s="567">
        <v>21</v>
      </c>
      <c r="F374" s="567">
        <v>11</v>
      </c>
      <c r="G374" s="567">
        <v>426</v>
      </c>
      <c r="H374" s="567">
        <v>4110</v>
      </c>
      <c r="O374" s="568" t="s">
        <v>2958</v>
      </c>
      <c r="P374" s="22">
        <f t="shared" si="15"/>
        <v>1</v>
      </c>
      <c r="Q374" s="22">
        <f t="shared" si="16"/>
        <v>1109</v>
      </c>
      <c r="R374" s="22">
        <f t="shared" si="17"/>
        <v>1109</v>
      </c>
    </row>
    <row r="375" spans="1:18" x14ac:dyDescent="0.2">
      <c r="A375" s="567">
        <v>1854</v>
      </c>
      <c r="B375" s="568" t="s">
        <v>1818</v>
      </c>
      <c r="C375" s="568" t="s">
        <v>1818</v>
      </c>
      <c r="D375" s="567">
        <v>5175</v>
      </c>
      <c r="E375" s="567">
        <v>3</v>
      </c>
      <c r="F375" s="567">
        <v>5</v>
      </c>
      <c r="G375" s="567">
        <v>316</v>
      </c>
      <c r="H375" s="567">
        <v>3110</v>
      </c>
      <c r="O375" s="568" t="s">
        <v>2191</v>
      </c>
      <c r="P375" s="22">
        <f t="shared" si="15"/>
        <v>3</v>
      </c>
      <c r="Q375" s="22">
        <f t="shared" si="16"/>
        <v>1110</v>
      </c>
      <c r="R375" s="22">
        <f t="shared" si="17"/>
        <v>1112</v>
      </c>
    </row>
    <row r="376" spans="1:18" x14ac:dyDescent="0.2">
      <c r="A376" s="567">
        <v>1343</v>
      </c>
      <c r="B376" s="568" t="s">
        <v>797</v>
      </c>
      <c r="C376" s="568" t="s">
        <v>797</v>
      </c>
      <c r="D376" s="567">
        <v>3660</v>
      </c>
      <c r="E376" s="567">
        <v>5</v>
      </c>
      <c r="F376" s="567">
        <v>3</v>
      </c>
      <c r="G376" s="567">
        <v>216</v>
      </c>
      <c r="H376" s="567">
        <v>2100</v>
      </c>
      <c r="O376" s="568" t="s">
        <v>2039</v>
      </c>
      <c r="P376" s="22">
        <f t="shared" si="15"/>
        <v>2</v>
      </c>
      <c r="Q376" s="22">
        <f t="shared" si="16"/>
        <v>1113</v>
      </c>
      <c r="R376" s="22">
        <f t="shared" si="17"/>
        <v>1114</v>
      </c>
    </row>
    <row r="377" spans="1:18" x14ac:dyDescent="0.2">
      <c r="A377" s="567">
        <v>505</v>
      </c>
      <c r="B377" s="568" t="s">
        <v>784</v>
      </c>
      <c r="C377" s="568" t="s">
        <v>485</v>
      </c>
      <c r="D377" s="567">
        <v>1001</v>
      </c>
      <c r="E377" s="567">
        <v>79</v>
      </c>
      <c r="F377" s="567">
        <v>1</v>
      </c>
      <c r="G377" s="567">
        <v>118</v>
      </c>
      <c r="H377" s="567">
        <v>1170</v>
      </c>
      <c r="O377" s="568" t="s">
        <v>3188</v>
      </c>
      <c r="P377" s="22">
        <f t="shared" si="15"/>
        <v>1</v>
      </c>
      <c r="Q377" s="22">
        <f t="shared" si="16"/>
        <v>1115</v>
      </c>
      <c r="R377" s="22">
        <f t="shared" si="17"/>
        <v>1115</v>
      </c>
    </row>
    <row r="378" spans="1:18" x14ac:dyDescent="0.2">
      <c r="A378" s="567">
        <v>504</v>
      </c>
      <c r="B378" s="568" t="s">
        <v>784</v>
      </c>
      <c r="C378" s="568" t="s">
        <v>797</v>
      </c>
      <c r="D378" s="567">
        <v>1000</v>
      </c>
      <c r="E378" s="567">
        <v>79</v>
      </c>
      <c r="F378" s="567">
        <v>1</v>
      </c>
      <c r="G378" s="567">
        <v>118</v>
      </c>
      <c r="H378" s="567">
        <v>1170</v>
      </c>
      <c r="O378" s="568" t="s">
        <v>1220</v>
      </c>
      <c r="P378" s="22">
        <f t="shared" si="15"/>
        <v>1</v>
      </c>
      <c r="Q378" s="22">
        <f t="shared" si="16"/>
        <v>1116</v>
      </c>
      <c r="R378" s="22">
        <f t="shared" si="17"/>
        <v>1116</v>
      </c>
    </row>
    <row r="379" spans="1:18" x14ac:dyDescent="0.2">
      <c r="A379" s="567">
        <v>1109</v>
      </c>
      <c r="B379" s="568" t="s">
        <v>1507</v>
      </c>
      <c r="C379" s="568" t="s">
        <v>1506</v>
      </c>
      <c r="D379" s="567">
        <v>2864</v>
      </c>
      <c r="E379" s="567">
        <v>9</v>
      </c>
      <c r="F379" s="567">
        <v>21</v>
      </c>
      <c r="G379" s="567">
        <v>225</v>
      </c>
      <c r="H379" s="567">
        <v>2140</v>
      </c>
      <c r="O379" s="568" t="s">
        <v>819</v>
      </c>
      <c r="P379" s="22">
        <f t="shared" si="15"/>
        <v>1</v>
      </c>
      <c r="Q379" s="22">
        <f t="shared" si="16"/>
        <v>1117</v>
      </c>
      <c r="R379" s="22">
        <f t="shared" si="17"/>
        <v>1117</v>
      </c>
    </row>
    <row r="380" spans="1:18" x14ac:dyDescent="0.2">
      <c r="A380" s="567">
        <v>1108</v>
      </c>
      <c r="B380" s="568" t="s">
        <v>1507</v>
      </c>
      <c r="C380" s="568" t="s">
        <v>234</v>
      </c>
      <c r="D380" s="567">
        <v>2863</v>
      </c>
      <c r="E380" s="567">
        <v>9</v>
      </c>
      <c r="F380" s="567">
        <v>21</v>
      </c>
      <c r="G380" s="567">
        <v>225</v>
      </c>
      <c r="H380" s="567">
        <v>2140</v>
      </c>
      <c r="O380" s="568" t="s">
        <v>779</v>
      </c>
      <c r="P380" s="22">
        <f t="shared" si="15"/>
        <v>3</v>
      </c>
      <c r="Q380" s="22">
        <f t="shared" si="16"/>
        <v>1118</v>
      </c>
      <c r="R380" s="22">
        <f t="shared" si="17"/>
        <v>1120</v>
      </c>
    </row>
    <row r="381" spans="1:18" x14ac:dyDescent="0.2">
      <c r="A381" s="567">
        <v>1107</v>
      </c>
      <c r="B381" s="568" t="s">
        <v>1507</v>
      </c>
      <c r="C381" s="568" t="s">
        <v>1508</v>
      </c>
      <c r="D381" s="567">
        <v>2862</v>
      </c>
      <c r="E381" s="567">
        <v>9</v>
      </c>
      <c r="F381" s="567">
        <v>21</v>
      </c>
      <c r="G381" s="567">
        <v>225</v>
      </c>
      <c r="H381" s="567">
        <v>2140</v>
      </c>
      <c r="O381" s="568" t="s">
        <v>2664</v>
      </c>
      <c r="P381" s="22">
        <f t="shared" si="15"/>
        <v>1</v>
      </c>
      <c r="Q381" s="22">
        <f t="shared" si="16"/>
        <v>1121</v>
      </c>
      <c r="R381" s="22">
        <f t="shared" si="17"/>
        <v>1121</v>
      </c>
    </row>
    <row r="382" spans="1:18" x14ac:dyDescent="0.2">
      <c r="A382" s="567">
        <v>1106</v>
      </c>
      <c r="B382" s="568" t="s">
        <v>1507</v>
      </c>
      <c r="C382" s="568" t="s">
        <v>1509</v>
      </c>
      <c r="D382" s="567">
        <v>2861</v>
      </c>
      <c r="E382" s="567">
        <v>9</v>
      </c>
      <c r="F382" s="567">
        <v>21</v>
      </c>
      <c r="G382" s="567">
        <v>225</v>
      </c>
      <c r="H382" s="567">
        <v>2140</v>
      </c>
      <c r="O382" s="568" t="s">
        <v>237</v>
      </c>
      <c r="P382" s="22">
        <f t="shared" si="15"/>
        <v>2</v>
      </c>
      <c r="Q382" s="22">
        <f t="shared" si="16"/>
        <v>1122</v>
      </c>
      <c r="R382" s="22">
        <f t="shared" si="17"/>
        <v>1123</v>
      </c>
    </row>
    <row r="383" spans="1:18" x14ac:dyDescent="0.2">
      <c r="A383" s="567">
        <v>1105</v>
      </c>
      <c r="B383" s="568" t="s">
        <v>1507</v>
      </c>
      <c r="C383" s="568" t="s">
        <v>1507</v>
      </c>
      <c r="D383" s="567">
        <v>2860</v>
      </c>
      <c r="E383" s="567">
        <v>9</v>
      </c>
      <c r="F383" s="567">
        <v>21</v>
      </c>
      <c r="G383" s="567">
        <v>225</v>
      </c>
      <c r="H383" s="567">
        <v>2140</v>
      </c>
      <c r="O383" s="568" t="s">
        <v>278</v>
      </c>
      <c r="P383" s="22">
        <f t="shared" si="15"/>
        <v>4</v>
      </c>
      <c r="Q383" s="22">
        <f t="shared" si="16"/>
        <v>1124</v>
      </c>
      <c r="R383" s="22">
        <f t="shared" si="17"/>
        <v>1127</v>
      </c>
    </row>
    <row r="384" spans="1:18" x14ac:dyDescent="0.2">
      <c r="A384" s="567">
        <v>1092</v>
      </c>
      <c r="B384" s="568" t="s">
        <v>1465</v>
      </c>
      <c r="C384" s="568" t="s">
        <v>1465</v>
      </c>
      <c r="D384" s="567">
        <v>2820</v>
      </c>
      <c r="E384" s="567">
        <v>10</v>
      </c>
      <c r="F384" s="567">
        <v>21</v>
      </c>
      <c r="G384" s="567">
        <v>225</v>
      </c>
      <c r="H384" s="567">
        <v>2140</v>
      </c>
      <c r="O384" s="568" t="s">
        <v>444</v>
      </c>
      <c r="P384" s="22">
        <f t="shared" si="15"/>
        <v>1</v>
      </c>
      <c r="Q384" s="22">
        <f t="shared" si="16"/>
        <v>1128</v>
      </c>
      <c r="R384" s="22">
        <f t="shared" si="17"/>
        <v>1128</v>
      </c>
    </row>
    <row r="385" spans="1:18" x14ac:dyDescent="0.2">
      <c r="A385" s="567">
        <v>3117</v>
      </c>
      <c r="B385" s="568" t="s">
        <v>3089</v>
      </c>
      <c r="C385" s="568" t="s">
        <v>758</v>
      </c>
      <c r="D385" s="567">
        <v>9032</v>
      </c>
      <c r="E385" s="567">
        <v>8</v>
      </c>
      <c r="F385" s="567">
        <v>11</v>
      </c>
      <c r="G385" s="567">
        <v>437</v>
      </c>
      <c r="H385" s="567">
        <v>4151</v>
      </c>
      <c r="O385" s="568" t="s">
        <v>3264</v>
      </c>
      <c r="P385" s="22">
        <f t="shared" si="15"/>
        <v>1</v>
      </c>
      <c r="Q385" s="22">
        <f t="shared" si="16"/>
        <v>1129</v>
      </c>
      <c r="R385" s="22">
        <f t="shared" si="17"/>
        <v>1129</v>
      </c>
    </row>
    <row r="386" spans="1:18" x14ac:dyDescent="0.2">
      <c r="A386" s="567">
        <v>3116</v>
      </c>
      <c r="B386" s="568" t="s">
        <v>3089</v>
      </c>
      <c r="C386" s="568" t="s">
        <v>3090</v>
      </c>
      <c r="D386" s="567">
        <v>9031</v>
      </c>
      <c r="E386" s="567">
        <v>8</v>
      </c>
      <c r="F386" s="567">
        <v>11</v>
      </c>
      <c r="G386" s="567">
        <v>437</v>
      </c>
      <c r="H386" s="567">
        <v>4151</v>
      </c>
      <c r="O386" s="568" t="s">
        <v>2830</v>
      </c>
      <c r="P386" s="22">
        <f t="shared" si="15"/>
        <v>1</v>
      </c>
      <c r="Q386" s="22">
        <f t="shared" si="16"/>
        <v>1130</v>
      </c>
      <c r="R386" s="22">
        <f t="shared" si="17"/>
        <v>1130</v>
      </c>
    </row>
    <row r="387" spans="1:18" x14ac:dyDescent="0.2">
      <c r="A387" s="567">
        <v>3115</v>
      </c>
      <c r="B387" s="568" t="s">
        <v>3089</v>
      </c>
      <c r="C387" s="568" t="s">
        <v>3089</v>
      </c>
      <c r="D387" s="567">
        <v>9030</v>
      </c>
      <c r="E387" s="567">
        <v>8</v>
      </c>
      <c r="F387" s="567">
        <v>11</v>
      </c>
      <c r="G387" s="567">
        <v>437</v>
      </c>
      <c r="H387" s="567">
        <v>4151</v>
      </c>
      <c r="O387" s="568" t="s">
        <v>309</v>
      </c>
      <c r="P387" s="22">
        <f t="shared" si="15"/>
        <v>6</v>
      </c>
      <c r="Q387" s="22">
        <f t="shared" si="16"/>
        <v>1131</v>
      </c>
      <c r="R387" s="22">
        <f t="shared" si="17"/>
        <v>1136</v>
      </c>
    </row>
    <row r="388" spans="1:18" x14ac:dyDescent="0.2">
      <c r="A388" s="567">
        <v>3118</v>
      </c>
      <c r="B388" s="568" t="s">
        <v>3089</v>
      </c>
      <c r="C388" s="568" t="s">
        <v>3095</v>
      </c>
      <c r="D388" s="567">
        <v>9033</v>
      </c>
      <c r="E388" s="567">
        <v>8</v>
      </c>
      <c r="F388" s="567">
        <v>11</v>
      </c>
      <c r="G388" s="567">
        <v>437</v>
      </c>
      <c r="H388" s="567">
        <v>4151</v>
      </c>
      <c r="O388" s="568" t="s">
        <v>60</v>
      </c>
      <c r="P388" s="22">
        <f t="shared" si="15"/>
        <v>3</v>
      </c>
      <c r="Q388" s="22">
        <f t="shared" si="16"/>
        <v>1137</v>
      </c>
      <c r="R388" s="22">
        <f t="shared" si="17"/>
        <v>1139</v>
      </c>
    </row>
    <row r="389" spans="1:18" x14ac:dyDescent="0.2">
      <c r="A389" s="567">
        <v>2553</v>
      </c>
      <c r="B389" s="568" t="s">
        <v>2058</v>
      </c>
      <c r="C389" s="568" t="s">
        <v>2058</v>
      </c>
      <c r="D389" s="567">
        <v>7330</v>
      </c>
      <c r="E389" s="567">
        <v>8</v>
      </c>
      <c r="F389" s="567">
        <v>3</v>
      </c>
      <c r="G389" s="567">
        <v>336</v>
      </c>
      <c r="H389" s="567">
        <v>3130</v>
      </c>
      <c r="O389" s="568" t="s">
        <v>2855</v>
      </c>
      <c r="P389" s="22">
        <f t="shared" si="15"/>
        <v>1</v>
      </c>
      <c r="Q389" s="22">
        <f t="shared" si="16"/>
        <v>1140</v>
      </c>
      <c r="R389" s="22">
        <f t="shared" si="17"/>
        <v>1140</v>
      </c>
    </row>
    <row r="390" spans="1:18" x14ac:dyDescent="0.2">
      <c r="A390" s="567">
        <v>811</v>
      </c>
      <c r="B390" s="568" t="s">
        <v>423</v>
      </c>
      <c r="C390" s="568" t="s">
        <v>423</v>
      </c>
      <c r="D390" s="567">
        <v>2000</v>
      </c>
      <c r="E390" s="567">
        <v>9</v>
      </c>
      <c r="F390" s="567">
        <v>18</v>
      </c>
      <c r="G390" s="567">
        <v>117</v>
      </c>
      <c r="H390" s="567">
        <v>1130</v>
      </c>
      <c r="O390" s="568" t="s">
        <v>520</v>
      </c>
      <c r="P390" s="22">
        <f t="shared" si="15"/>
        <v>3</v>
      </c>
      <c r="Q390" s="22">
        <f t="shared" si="16"/>
        <v>1141</v>
      </c>
      <c r="R390" s="22">
        <f t="shared" si="17"/>
        <v>1143</v>
      </c>
    </row>
    <row r="391" spans="1:18" x14ac:dyDescent="0.2">
      <c r="A391" s="567">
        <v>1458</v>
      </c>
      <c r="B391" s="568" t="s">
        <v>1597</v>
      </c>
      <c r="C391" s="568" t="s">
        <v>1597</v>
      </c>
      <c r="D391" s="567">
        <v>4010</v>
      </c>
      <c r="E391" s="567">
        <v>4</v>
      </c>
      <c r="F391" s="567">
        <v>17</v>
      </c>
      <c r="G391" s="567">
        <v>236</v>
      </c>
      <c r="H391" s="567">
        <v>2150</v>
      </c>
      <c r="O391" s="568" t="s">
        <v>1951</v>
      </c>
      <c r="P391" s="22">
        <f t="shared" si="15"/>
        <v>2</v>
      </c>
      <c r="Q391" s="22">
        <f t="shared" si="16"/>
        <v>1144</v>
      </c>
      <c r="R391" s="22">
        <f t="shared" si="17"/>
        <v>1145</v>
      </c>
    </row>
    <row r="392" spans="1:18" x14ac:dyDescent="0.2">
      <c r="A392" s="567">
        <v>1459</v>
      </c>
      <c r="B392" s="568" t="s">
        <v>1597</v>
      </c>
      <c r="C392" s="568" t="s">
        <v>1598</v>
      </c>
      <c r="D392" s="567">
        <v>4011</v>
      </c>
      <c r="E392" s="567">
        <v>4</v>
      </c>
      <c r="F392" s="567">
        <v>17</v>
      </c>
      <c r="G392" s="567">
        <v>236</v>
      </c>
      <c r="H392" s="567">
        <v>2150</v>
      </c>
      <c r="O392" s="568" t="s">
        <v>565</v>
      </c>
      <c r="P392" s="22">
        <f t="shared" si="15"/>
        <v>5</v>
      </c>
      <c r="Q392" s="22">
        <f t="shared" si="16"/>
        <v>1146</v>
      </c>
      <c r="R392" s="22">
        <f t="shared" si="17"/>
        <v>1150</v>
      </c>
    </row>
    <row r="393" spans="1:18" x14ac:dyDescent="0.2">
      <c r="A393" s="567">
        <v>1354</v>
      </c>
      <c r="B393" s="568" t="s">
        <v>1141</v>
      </c>
      <c r="C393" s="568" t="s">
        <v>1141</v>
      </c>
      <c r="D393" s="567">
        <v>3700</v>
      </c>
      <c r="E393" s="567">
        <v>6</v>
      </c>
      <c r="F393" s="567">
        <v>3</v>
      </c>
      <c r="G393" s="567">
        <v>216</v>
      </c>
      <c r="H393" s="567">
        <v>2100</v>
      </c>
      <c r="O393" s="568" t="s">
        <v>2458</v>
      </c>
      <c r="P393" s="22">
        <f t="shared" si="15"/>
        <v>1</v>
      </c>
      <c r="Q393" s="22">
        <f t="shared" si="16"/>
        <v>1151</v>
      </c>
      <c r="R393" s="22">
        <f t="shared" si="17"/>
        <v>1151</v>
      </c>
    </row>
    <row r="394" spans="1:18" x14ac:dyDescent="0.2">
      <c r="A394" s="567">
        <v>2766</v>
      </c>
      <c r="B394" s="568" t="s">
        <v>2652</v>
      </c>
      <c r="C394" s="568" t="s">
        <v>2651</v>
      </c>
      <c r="D394" s="567">
        <v>7941</v>
      </c>
      <c r="E394" s="567">
        <v>8</v>
      </c>
      <c r="F394" s="567">
        <v>16</v>
      </c>
      <c r="G394" s="567">
        <v>417</v>
      </c>
      <c r="H394" s="567">
        <v>4100</v>
      </c>
      <c r="O394" s="568" t="s">
        <v>2156</v>
      </c>
      <c r="P394" s="22">
        <f t="shared" si="15"/>
        <v>1</v>
      </c>
      <c r="Q394" s="22">
        <f t="shared" si="16"/>
        <v>1152</v>
      </c>
      <c r="R394" s="22">
        <f t="shared" si="17"/>
        <v>1152</v>
      </c>
    </row>
    <row r="395" spans="1:18" x14ac:dyDescent="0.2">
      <c r="A395" s="567">
        <v>2768</v>
      </c>
      <c r="B395" s="568" t="s">
        <v>2652</v>
      </c>
      <c r="C395" s="568" t="s">
        <v>2660</v>
      </c>
      <c r="D395" s="567">
        <v>7943</v>
      </c>
      <c r="E395" s="567">
        <v>8</v>
      </c>
      <c r="F395" s="567">
        <v>16</v>
      </c>
      <c r="G395" s="567">
        <v>417</v>
      </c>
      <c r="H395" s="567">
        <v>4100</v>
      </c>
      <c r="O395" s="568" t="s">
        <v>1807</v>
      </c>
      <c r="P395" s="22">
        <f t="shared" si="15"/>
        <v>3</v>
      </c>
      <c r="Q395" s="22">
        <f t="shared" si="16"/>
        <v>1153</v>
      </c>
      <c r="R395" s="22">
        <f t="shared" si="17"/>
        <v>1155</v>
      </c>
    </row>
    <row r="396" spans="1:18" x14ac:dyDescent="0.2">
      <c r="A396" s="567">
        <v>2767</v>
      </c>
      <c r="B396" s="568" t="s">
        <v>2652</v>
      </c>
      <c r="C396" s="568" t="s">
        <v>2662</v>
      </c>
      <c r="D396" s="567">
        <v>7942</v>
      </c>
      <c r="E396" s="567">
        <v>8</v>
      </c>
      <c r="F396" s="567">
        <v>16</v>
      </c>
      <c r="G396" s="567">
        <v>417</v>
      </c>
      <c r="H396" s="567">
        <v>4100</v>
      </c>
      <c r="O396" s="568" t="s">
        <v>1786</v>
      </c>
      <c r="P396" s="22">
        <f t="shared" si="15"/>
        <v>1</v>
      </c>
      <c r="Q396" s="22">
        <f t="shared" si="16"/>
        <v>1156</v>
      </c>
      <c r="R396" s="22">
        <f t="shared" si="17"/>
        <v>1156</v>
      </c>
    </row>
    <row r="397" spans="1:18" x14ac:dyDescent="0.2">
      <c r="A397" s="567">
        <v>2765</v>
      </c>
      <c r="B397" s="568" t="s">
        <v>2652</v>
      </c>
      <c r="C397" s="568" t="s">
        <v>2652</v>
      </c>
      <c r="D397" s="567">
        <v>7940</v>
      </c>
      <c r="E397" s="567">
        <v>8</v>
      </c>
      <c r="F397" s="567">
        <v>16</v>
      </c>
      <c r="G397" s="567">
        <v>417</v>
      </c>
      <c r="H397" s="567">
        <v>4100</v>
      </c>
      <c r="O397" s="568" t="s">
        <v>2736</v>
      </c>
      <c r="P397" s="22">
        <f t="shared" si="15"/>
        <v>2</v>
      </c>
      <c r="Q397" s="22">
        <f t="shared" si="16"/>
        <v>1157</v>
      </c>
      <c r="R397" s="22">
        <f t="shared" si="17"/>
        <v>1158</v>
      </c>
    </row>
    <row r="398" spans="1:18" x14ac:dyDescent="0.2">
      <c r="A398" s="567">
        <v>774</v>
      </c>
      <c r="B398" s="568" t="s">
        <v>821</v>
      </c>
      <c r="C398" s="568" t="s">
        <v>820</v>
      </c>
      <c r="D398" s="567">
        <v>1841</v>
      </c>
      <c r="E398" s="567">
        <v>12</v>
      </c>
      <c r="F398" s="567">
        <v>18</v>
      </c>
      <c r="G398" s="567">
        <v>116</v>
      </c>
      <c r="H398" s="567">
        <v>1180</v>
      </c>
      <c r="O398" s="568" t="s">
        <v>2936</v>
      </c>
      <c r="P398" s="22">
        <f t="shared" si="15"/>
        <v>1</v>
      </c>
      <c r="Q398" s="22">
        <f t="shared" si="16"/>
        <v>1159</v>
      </c>
      <c r="R398" s="22">
        <f t="shared" si="17"/>
        <v>1159</v>
      </c>
    </row>
    <row r="399" spans="1:18" x14ac:dyDescent="0.2">
      <c r="A399" s="567">
        <v>773</v>
      </c>
      <c r="B399" s="568" t="s">
        <v>821</v>
      </c>
      <c r="C399" s="568" t="s">
        <v>485</v>
      </c>
      <c r="D399" s="567">
        <v>1840</v>
      </c>
      <c r="E399" s="567">
        <v>12</v>
      </c>
      <c r="F399" s="567">
        <v>18</v>
      </c>
      <c r="G399" s="567">
        <v>116</v>
      </c>
      <c r="H399" s="567">
        <v>1180</v>
      </c>
      <c r="O399" s="568" t="s">
        <v>2100</v>
      </c>
      <c r="P399" s="22">
        <f t="shared" ref="P399:P462" si="18">COUNTIF($B$13:$B$3400,O399)</f>
        <v>2</v>
      </c>
      <c r="Q399" s="22">
        <f t="shared" si="16"/>
        <v>1160</v>
      </c>
      <c r="R399" s="22">
        <f t="shared" si="17"/>
        <v>1161</v>
      </c>
    </row>
    <row r="400" spans="1:18" x14ac:dyDescent="0.2">
      <c r="A400" s="567">
        <v>2799</v>
      </c>
      <c r="B400" s="568" t="s">
        <v>2626</v>
      </c>
      <c r="C400" s="568" t="s">
        <v>2626</v>
      </c>
      <c r="D400" s="567">
        <v>8010</v>
      </c>
      <c r="E400" s="567">
        <v>10</v>
      </c>
      <c r="F400" s="567">
        <v>14</v>
      </c>
      <c r="G400" s="567">
        <v>417</v>
      </c>
      <c r="H400" s="567">
        <v>4100</v>
      </c>
      <c r="O400" s="568" t="s">
        <v>3146</v>
      </c>
      <c r="P400" s="22">
        <f t="shared" si="18"/>
        <v>1</v>
      </c>
      <c r="Q400" s="22">
        <f t="shared" si="16"/>
        <v>1162</v>
      </c>
      <c r="R400" s="22">
        <f t="shared" si="17"/>
        <v>1162</v>
      </c>
    </row>
    <row r="401" spans="1:18" x14ac:dyDescent="0.2">
      <c r="A401" s="567">
        <v>2878</v>
      </c>
      <c r="B401" s="568" t="s">
        <v>3289</v>
      </c>
      <c r="C401" s="568" t="s">
        <v>3289</v>
      </c>
      <c r="D401" s="567">
        <v>8300</v>
      </c>
      <c r="E401" s="567">
        <v>20</v>
      </c>
      <c r="F401" s="567">
        <v>14</v>
      </c>
      <c r="G401" s="567">
        <v>425</v>
      </c>
      <c r="H401" s="567">
        <v>4170</v>
      </c>
      <c r="O401" s="568" t="s">
        <v>2607</v>
      </c>
      <c r="P401" s="22">
        <f t="shared" si="18"/>
        <v>9</v>
      </c>
      <c r="Q401" s="22">
        <f t="shared" ref="Q401:Q464" si="19">R400+1</f>
        <v>1163</v>
      </c>
      <c r="R401" s="22">
        <f t="shared" ref="R401:R464" si="20">R400+P401</f>
        <v>1171</v>
      </c>
    </row>
    <row r="402" spans="1:18" x14ac:dyDescent="0.2">
      <c r="A402" s="567">
        <v>2879</v>
      </c>
      <c r="B402" s="568" t="s">
        <v>3289</v>
      </c>
      <c r="C402" s="568" t="s">
        <v>3290</v>
      </c>
      <c r="D402" s="567">
        <v>8301</v>
      </c>
      <c r="E402" s="567">
        <v>20</v>
      </c>
      <c r="F402" s="567">
        <v>14</v>
      </c>
      <c r="G402" s="567">
        <v>425</v>
      </c>
      <c r="H402" s="567">
        <v>4170</v>
      </c>
      <c r="O402" s="568" t="s">
        <v>1656</v>
      </c>
      <c r="P402" s="22">
        <f t="shared" si="18"/>
        <v>4</v>
      </c>
      <c r="Q402" s="22">
        <f t="shared" si="19"/>
        <v>1172</v>
      </c>
      <c r="R402" s="22">
        <f t="shared" si="20"/>
        <v>1175</v>
      </c>
    </row>
    <row r="403" spans="1:18" x14ac:dyDescent="0.2">
      <c r="A403" s="567">
        <v>2880</v>
      </c>
      <c r="B403" s="568" t="s">
        <v>3289</v>
      </c>
      <c r="C403" s="568" t="s">
        <v>3291</v>
      </c>
      <c r="D403" s="567">
        <v>8302</v>
      </c>
      <c r="E403" s="567">
        <v>20</v>
      </c>
      <c r="F403" s="567">
        <v>14</v>
      </c>
      <c r="G403" s="567">
        <v>425</v>
      </c>
      <c r="H403" s="567">
        <v>4170</v>
      </c>
      <c r="O403" s="568" t="s">
        <v>1254</v>
      </c>
      <c r="P403" s="22">
        <f t="shared" si="18"/>
        <v>1</v>
      </c>
      <c r="Q403" s="22">
        <f t="shared" si="19"/>
        <v>1176</v>
      </c>
      <c r="R403" s="22">
        <f t="shared" si="20"/>
        <v>1176</v>
      </c>
    </row>
    <row r="404" spans="1:18" x14ac:dyDescent="0.2">
      <c r="A404" s="567">
        <v>2881</v>
      </c>
      <c r="B404" s="568" t="s">
        <v>3289</v>
      </c>
      <c r="C404" s="568" t="s">
        <v>3292</v>
      </c>
      <c r="D404" s="567">
        <v>8303</v>
      </c>
      <c r="E404" s="567">
        <v>20</v>
      </c>
      <c r="F404" s="567">
        <v>14</v>
      </c>
      <c r="G404" s="567">
        <v>425</v>
      </c>
      <c r="H404" s="567">
        <v>4170</v>
      </c>
      <c r="O404" s="568" t="s">
        <v>1534</v>
      </c>
      <c r="P404" s="22">
        <f t="shared" si="18"/>
        <v>8</v>
      </c>
      <c r="Q404" s="22">
        <f t="shared" si="19"/>
        <v>1177</v>
      </c>
      <c r="R404" s="22">
        <f t="shared" si="20"/>
        <v>1184</v>
      </c>
    </row>
    <row r="405" spans="1:18" x14ac:dyDescent="0.2">
      <c r="A405" s="567">
        <v>2882</v>
      </c>
      <c r="B405" s="568" t="s">
        <v>3289</v>
      </c>
      <c r="C405" s="568" t="s">
        <v>3293</v>
      </c>
      <c r="D405" s="567">
        <v>8304</v>
      </c>
      <c r="E405" s="567">
        <v>20</v>
      </c>
      <c r="F405" s="567">
        <v>14</v>
      </c>
      <c r="G405" s="567">
        <v>425</v>
      </c>
      <c r="H405" s="567">
        <v>4170</v>
      </c>
      <c r="O405" s="568" t="s">
        <v>814</v>
      </c>
      <c r="P405" s="22">
        <f t="shared" si="18"/>
        <v>1</v>
      </c>
      <c r="Q405" s="22">
        <f t="shared" si="19"/>
        <v>1185</v>
      </c>
      <c r="R405" s="22">
        <f t="shared" si="20"/>
        <v>1185</v>
      </c>
    </row>
    <row r="406" spans="1:18" x14ac:dyDescent="0.2">
      <c r="A406" s="567">
        <v>2883</v>
      </c>
      <c r="B406" s="568" t="s">
        <v>3289</v>
      </c>
      <c r="C406" s="568" t="s">
        <v>2919</v>
      </c>
      <c r="D406" s="567">
        <v>8305</v>
      </c>
      <c r="E406" s="567">
        <v>20</v>
      </c>
      <c r="F406" s="567">
        <v>14</v>
      </c>
      <c r="G406" s="567">
        <v>425</v>
      </c>
      <c r="H406" s="567">
        <v>4170</v>
      </c>
      <c r="O406" s="568" t="s">
        <v>578</v>
      </c>
      <c r="P406" s="22">
        <f t="shared" si="18"/>
        <v>3</v>
      </c>
      <c r="Q406" s="22">
        <f t="shared" si="19"/>
        <v>1186</v>
      </c>
      <c r="R406" s="22">
        <f t="shared" si="20"/>
        <v>1188</v>
      </c>
    </row>
    <row r="407" spans="1:18" x14ac:dyDescent="0.2">
      <c r="A407" s="567">
        <v>2884</v>
      </c>
      <c r="B407" s="568" t="s">
        <v>3289</v>
      </c>
      <c r="C407" s="568" t="s">
        <v>126</v>
      </c>
      <c r="D407" s="567">
        <v>8306</v>
      </c>
      <c r="E407" s="567">
        <v>20</v>
      </c>
      <c r="F407" s="567">
        <v>14</v>
      </c>
      <c r="G407" s="567">
        <v>425</v>
      </c>
      <c r="H407" s="567">
        <v>4170</v>
      </c>
      <c r="O407" s="568" t="s">
        <v>1891</v>
      </c>
      <c r="P407" s="22">
        <f t="shared" si="18"/>
        <v>3</v>
      </c>
      <c r="Q407" s="22">
        <f t="shared" si="19"/>
        <v>1189</v>
      </c>
      <c r="R407" s="22">
        <f t="shared" si="20"/>
        <v>1191</v>
      </c>
    </row>
    <row r="408" spans="1:18" x14ac:dyDescent="0.2">
      <c r="A408" s="567">
        <v>250</v>
      </c>
      <c r="B408" s="568" t="s">
        <v>1044</v>
      </c>
      <c r="C408" s="568" t="s">
        <v>1043</v>
      </c>
      <c r="D408" s="567">
        <v>403</v>
      </c>
      <c r="E408" s="567">
        <v>8</v>
      </c>
      <c r="F408" s="567">
        <v>20</v>
      </c>
      <c r="G408" s="567">
        <v>127</v>
      </c>
      <c r="H408" s="567">
        <v>1200</v>
      </c>
      <c r="O408" s="568" t="s">
        <v>2027</v>
      </c>
      <c r="P408" s="22">
        <f t="shared" si="18"/>
        <v>1</v>
      </c>
      <c r="Q408" s="22">
        <f t="shared" si="19"/>
        <v>1192</v>
      </c>
      <c r="R408" s="22">
        <f t="shared" si="20"/>
        <v>1192</v>
      </c>
    </row>
    <row r="409" spans="1:18" x14ac:dyDescent="0.2">
      <c r="A409" s="567">
        <v>251</v>
      </c>
      <c r="B409" s="568" t="s">
        <v>1044</v>
      </c>
      <c r="C409" s="568" t="s">
        <v>1056</v>
      </c>
      <c r="D409" s="567">
        <v>404</v>
      </c>
      <c r="E409" s="567">
        <v>8</v>
      </c>
      <c r="F409" s="567">
        <v>20</v>
      </c>
      <c r="G409" s="567">
        <v>127</v>
      </c>
      <c r="H409" s="567">
        <v>1200</v>
      </c>
      <c r="O409" s="568" t="s">
        <v>2159</v>
      </c>
      <c r="P409" s="22">
        <f t="shared" si="18"/>
        <v>2</v>
      </c>
      <c r="Q409" s="22">
        <f t="shared" si="19"/>
        <v>1193</v>
      </c>
      <c r="R409" s="22">
        <f t="shared" si="20"/>
        <v>1194</v>
      </c>
    </row>
    <row r="410" spans="1:18" x14ac:dyDescent="0.2">
      <c r="A410" s="567">
        <v>249</v>
      </c>
      <c r="B410" s="568" t="s">
        <v>1044</v>
      </c>
      <c r="C410" s="568" t="s">
        <v>1058</v>
      </c>
      <c r="D410" s="567">
        <v>402</v>
      </c>
      <c r="E410" s="567">
        <v>8</v>
      </c>
      <c r="F410" s="567">
        <v>20</v>
      </c>
      <c r="G410" s="567">
        <v>127</v>
      </c>
      <c r="H410" s="567">
        <v>1200</v>
      </c>
      <c r="O410" s="568" t="s">
        <v>1489</v>
      </c>
      <c r="P410" s="22">
        <f t="shared" si="18"/>
        <v>2</v>
      </c>
      <c r="Q410" s="22">
        <f t="shared" si="19"/>
        <v>1195</v>
      </c>
      <c r="R410" s="22">
        <f t="shared" si="20"/>
        <v>1196</v>
      </c>
    </row>
    <row r="411" spans="1:18" x14ac:dyDescent="0.2">
      <c r="A411" s="567">
        <v>248</v>
      </c>
      <c r="B411" s="568" t="s">
        <v>1044</v>
      </c>
      <c r="C411" s="568" t="s">
        <v>1059</v>
      </c>
      <c r="D411" s="567">
        <v>401</v>
      </c>
      <c r="E411" s="567">
        <v>8</v>
      </c>
      <c r="F411" s="567">
        <v>20</v>
      </c>
      <c r="G411" s="567">
        <v>127</v>
      </c>
      <c r="H411" s="567">
        <v>1200</v>
      </c>
      <c r="O411" s="568" t="s">
        <v>436</v>
      </c>
      <c r="P411" s="22">
        <f t="shared" si="18"/>
        <v>1</v>
      </c>
      <c r="Q411" s="22">
        <f t="shared" si="19"/>
        <v>1197</v>
      </c>
      <c r="R411" s="22">
        <f t="shared" si="20"/>
        <v>1197</v>
      </c>
    </row>
    <row r="412" spans="1:18" x14ac:dyDescent="0.2">
      <c r="A412" s="567">
        <v>247</v>
      </c>
      <c r="B412" s="568" t="s">
        <v>1044</v>
      </c>
      <c r="C412" s="568" t="s">
        <v>1044</v>
      </c>
      <c r="D412" s="567">
        <v>400</v>
      </c>
      <c r="E412" s="567">
        <v>8</v>
      </c>
      <c r="F412" s="567">
        <v>20</v>
      </c>
      <c r="G412" s="567">
        <v>127</v>
      </c>
      <c r="H412" s="567">
        <v>1200</v>
      </c>
      <c r="O412" s="568" t="s">
        <v>2165</v>
      </c>
      <c r="P412" s="22">
        <f t="shared" si="18"/>
        <v>2</v>
      </c>
      <c r="Q412" s="22">
        <f t="shared" si="19"/>
        <v>1198</v>
      </c>
      <c r="R412" s="22">
        <f t="shared" si="20"/>
        <v>1199</v>
      </c>
    </row>
    <row r="413" spans="1:18" x14ac:dyDescent="0.2">
      <c r="A413" s="567">
        <v>252</v>
      </c>
      <c r="B413" s="568" t="s">
        <v>1044</v>
      </c>
      <c r="C413" s="568" t="s">
        <v>1067</v>
      </c>
      <c r="D413" s="567">
        <v>405</v>
      </c>
      <c r="E413" s="567">
        <v>8</v>
      </c>
      <c r="F413" s="567">
        <v>20</v>
      </c>
      <c r="G413" s="567">
        <v>127</v>
      </c>
      <c r="H413" s="567">
        <v>1200</v>
      </c>
      <c r="O413" s="568" t="s">
        <v>3282</v>
      </c>
      <c r="P413" s="22">
        <f t="shared" si="18"/>
        <v>1</v>
      </c>
      <c r="Q413" s="22">
        <f t="shared" si="19"/>
        <v>1200</v>
      </c>
      <c r="R413" s="22">
        <f t="shared" si="20"/>
        <v>1200</v>
      </c>
    </row>
    <row r="414" spans="1:18" x14ac:dyDescent="0.2">
      <c r="A414" s="567">
        <v>2869</v>
      </c>
      <c r="B414" s="568" t="s">
        <v>3232</v>
      </c>
      <c r="C414" s="568" t="s">
        <v>3231</v>
      </c>
      <c r="D414" s="567">
        <v>8280</v>
      </c>
      <c r="E414" s="567">
        <v>141</v>
      </c>
      <c r="F414" s="567">
        <v>13</v>
      </c>
      <c r="G414" s="567">
        <v>425</v>
      </c>
      <c r="H414" s="567">
        <v>4170</v>
      </c>
      <c r="O414" s="568" t="s">
        <v>2622</v>
      </c>
      <c r="P414" s="22">
        <f t="shared" si="18"/>
        <v>1</v>
      </c>
      <c r="Q414" s="22">
        <f t="shared" si="19"/>
        <v>1201</v>
      </c>
      <c r="R414" s="22">
        <f t="shared" si="20"/>
        <v>1201</v>
      </c>
    </row>
    <row r="415" spans="1:18" x14ac:dyDescent="0.2">
      <c r="A415" s="567">
        <v>2870</v>
      </c>
      <c r="B415" s="568" t="s">
        <v>3232</v>
      </c>
      <c r="C415" s="568" t="s">
        <v>3233</v>
      </c>
      <c r="D415" s="567">
        <v>8281</v>
      </c>
      <c r="E415" s="567">
        <v>141</v>
      </c>
      <c r="F415" s="567">
        <v>13</v>
      </c>
      <c r="G415" s="567">
        <v>425</v>
      </c>
      <c r="H415" s="567">
        <v>4170</v>
      </c>
      <c r="O415" s="568" t="s">
        <v>2091</v>
      </c>
      <c r="P415" s="22">
        <f t="shared" si="18"/>
        <v>1</v>
      </c>
      <c r="Q415" s="22">
        <f t="shared" si="19"/>
        <v>1202</v>
      </c>
      <c r="R415" s="22">
        <f t="shared" si="20"/>
        <v>1202</v>
      </c>
    </row>
    <row r="416" spans="1:18" x14ac:dyDescent="0.2">
      <c r="A416" s="567">
        <v>2871</v>
      </c>
      <c r="B416" s="568" t="s">
        <v>3232</v>
      </c>
      <c r="C416" s="568" t="s">
        <v>3234</v>
      </c>
      <c r="D416" s="567">
        <v>8282</v>
      </c>
      <c r="E416" s="567">
        <v>141</v>
      </c>
      <c r="F416" s="567">
        <v>13</v>
      </c>
      <c r="G416" s="567">
        <v>425</v>
      </c>
      <c r="H416" s="567">
        <v>4170</v>
      </c>
      <c r="O416" s="568" t="s">
        <v>2461</v>
      </c>
      <c r="P416" s="22">
        <f t="shared" si="18"/>
        <v>1</v>
      </c>
      <c r="Q416" s="22">
        <f t="shared" si="19"/>
        <v>1203</v>
      </c>
      <c r="R416" s="22">
        <f t="shared" si="20"/>
        <v>1203</v>
      </c>
    </row>
    <row r="417" spans="1:18" x14ac:dyDescent="0.2">
      <c r="A417" s="567">
        <v>2874</v>
      </c>
      <c r="B417" s="568" t="s">
        <v>3232</v>
      </c>
      <c r="C417" s="568" t="s">
        <v>3247</v>
      </c>
      <c r="D417" s="567">
        <v>8285</v>
      </c>
      <c r="E417" s="567">
        <v>141</v>
      </c>
      <c r="F417" s="567">
        <v>13</v>
      </c>
      <c r="G417" s="567">
        <v>425</v>
      </c>
      <c r="H417" s="567">
        <v>4170</v>
      </c>
      <c r="O417" s="568" t="s">
        <v>2553</v>
      </c>
      <c r="P417" s="22">
        <f t="shared" si="18"/>
        <v>1</v>
      </c>
      <c r="Q417" s="22">
        <f t="shared" si="19"/>
        <v>1204</v>
      </c>
      <c r="R417" s="22">
        <f t="shared" si="20"/>
        <v>1204</v>
      </c>
    </row>
    <row r="418" spans="1:18" x14ac:dyDescent="0.2">
      <c r="A418" s="567">
        <v>2872</v>
      </c>
      <c r="B418" s="568" t="s">
        <v>3232</v>
      </c>
      <c r="C418" s="568" t="s">
        <v>3269</v>
      </c>
      <c r="D418" s="567">
        <v>8283</v>
      </c>
      <c r="E418" s="567">
        <v>141</v>
      </c>
      <c r="F418" s="567">
        <v>13</v>
      </c>
      <c r="G418" s="567">
        <v>425</v>
      </c>
      <c r="H418" s="567">
        <v>4170</v>
      </c>
      <c r="O418" s="568" t="s">
        <v>2879</v>
      </c>
      <c r="P418" s="22">
        <f t="shared" si="18"/>
        <v>5</v>
      </c>
      <c r="Q418" s="22">
        <f t="shared" si="19"/>
        <v>1205</v>
      </c>
      <c r="R418" s="22">
        <f t="shared" si="20"/>
        <v>1209</v>
      </c>
    </row>
    <row r="419" spans="1:18" x14ac:dyDescent="0.2">
      <c r="A419" s="567">
        <v>2875</v>
      </c>
      <c r="B419" s="568" t="s">
        <v>3232</v>
      </c>
      <c r="C419" s="568" t="s">
        <v>3286</v>
      </c>
      <c r="D419" s="567">
        <v>8286</v>
      </c>
      <c r="E419" s="567">
        <v>141</v>
      </c>
      <c r="F419" s="567">
        <v>13</v>
      </c>
      <c r="G419" s="567">
        <v>425</v>
      </c>
      <c r="H419" s="567">
        <v>4170</v>
      </c>
      <c r="O419" s="568" t="s">
        <v>2619</v>
      </c>
      <c r="P419" s="22">
        <f t="shared" si="18"/>
        <v>9</v>
      </c>
      <c r="Q419" s="22">
        <f t="shared" si="19"/>
        <v>1210</v>
      </c>
      <c r="R419" s="22">
        <f t="shared" si="20"/>
        <v>1218</v>
      </c>
    </row>
    <row r="420" spans="1:18" x14ac:dyDescent="0.2">
      <c r="A420" s="567">
        <v>2873</v>
      </c>
      <c r="B420" s="568" t="s">
        <v>3232</v>
      </c>
      <c r="C420" s="568" t="s">
        <v>3304</v>
      </c>
      <c r="D420" s="567">
        <v>8284</v>
      </c>
      <c r="E420" s="567">
        <v>141</v>
      </c>
      <c r="F420" s="567">
        <v>13</v>
      </c>
      <c r="G420" s="567">
        <v>425</v>
      </c>
      <c r="H420" s="567">
        <v>4170</v>
      </c>
      <c r="O420" s="568" t="s">
        <v>1368</v>
      </c>
      <c r="P420" s="22">
        <f t="shared" si="18"/>
        <v>1</v>
      </c>
      <c r="Q420" s="22">
        <f t="shared" si="19"/>
        <v>1219</v>
      </c>
      <c r="R420" s="22">
        <f t="shared" si="20"/>
        <v>1219</v>
      </c>
    </row>
    <row r="421" spans="1:18" x14ac:dyDescent="0.2">
      <c r="A421" s="567">
        <v>2171</v>
      </c>
      <c r="B421" s="568" t="s">
        <v>1722</v>
      </c>
      <c r="C421" s="568" t="s">
        <v>1721</v>
      </c>
      <c r="D421" s="567">
        <v>6197</v>
      </c>
      <c r="E421" s="567">
        <v>5</v>
      </c>
      <c r="F421" s="567">
        <v>8</v>
      </c>
      <c r="G421" s="567">
        <v>326</v>
      </c>
      <c r="H421" s="567">
        <v>3100</v>
      </c>
      <c r="O421" s="568" t="s">
        <v>1374</v>
      </c>
      <c r="P421" s="22">
        <f t="shared" si="18"/>
        <v>1</v>
      </c>
      <c r="Q421" s="22">
        <f t="shared" si="19"/>
        <v>1220</v>
      </c>
      <c r="R421" s="22">
        <f t="shared" si="20"/>
        <v>1220</v>
      </c>
    </row>
    <row r="422" spans="1:18" x14ac:dyDescent="0.2">
      <c r="A422" s="567">
        <v>2164</v>
      </c>
      <c r="B422" s="568" t="s">
        <v>1722</v>
      </c>
      <c r="C422" s="568" t="s">
        <v>1722</v>
      </c>
      <c r="D422" s="567">
        <v>6190</v>
      </c>
      <c r="E422" s="567">
        <v>5</v>
      </c>
      <c r="F422" s="567">
        <v>8</v>
      </c>
      <c r="G422" s="567">
        <v>326</v>
      </c>
      <c r="H422" s="567">
        <v>3100</v>
      </c>
      <c r="O422" s="568" t="s">
        <v>1428</v>
      </c>
      <c r="P422" s="22">
        <f t="shared" si="18"/>
        <v>1</v>
      </c>
      <c r="Q422" s="22">
        <f t="shared" si="19"/>
        <v>1221</v>
      </c>
      <c r="R422" s="22">
        <f t="shared" si="20"/>
        <v>1221</v>
      </c>
    </row>
    <row r="423" spans="1:18" x14ac:dyDescent="0.2">
      <c r="A423" s="567">
        <v>2165</v>
      </c>
      <c r="B423" s="568" t="s">
        <v>1722</v>
      </c>
      <c r="C423" s="568" t="s">
        <v>1725</v>
      </c>
      <c r="D423" s="567">
        <v>6191</v>
      </c>
      <c r="E423" s="567">
        <v>5</v>
      </c>
      <c r="F423" s="567">
        <v>8</v>
      </c>
      <c r="G423" s="567">
        <v>326</v>
      </c>
      <c r="H423" s="567">
        <v>3100</v>
      </c>
      <c r="O423" s="568" t="s">
        <v>490</v>
      </c>
      <c r="P423" s="22">
        <f t="shared" si="18"/>
        <v>2</v>
      </c>
      <c r="Q423" s="22">
        <f t="shared" si="19"/>
        <v>1222</v>
      </c>
      <c r="R423" s="22">
        <f t="shared" si="20"/>
        <v>1223</v>
      </c>
    </row>
    <row r="424" spans="1:18" x14ac:dyDescent="0.2">
      <c r="A424" s="567">
        <v>2166</v>
      </c>
      <c r="B424" s="568" t="s">
        <v>1722</v>
      </c>
      <c r="C424" s="568" t="s">
        <v>1726</v>
      </c>
      <c r="D424" s="567">
        <v>6192</v>
      </c>
      <c r="E424" s="567">
        <v>5</v>
      </c>
      <c r="F424" s="567">
        <v>8</v>
      </c>
      <c r="G424" s="567">
        <v>326</v>
      </c>
      <c r="H424" s="567">
        <v>3100</v>
      </c>
      <c r="O424" s="568" t="s">
        <v>517</v>
      </c>
      <c r="P424" s="22">
        <f t="shared" si="18"/>
        <v>6</v>
      </c>
      <c r="Q424" s="22">
        <f t="shared" si="19"/>
        <v>1224</v>
      </c>
      <c r="R424" s="22">
        <f t="shared" si="20"/>
        <v>1229</v>
      </c>
    </row>
    <row r="425" spans="1:18" x14ac:dyDescent="0.2">
      <c r="A425" s="567">
        <v>2167</v>
      </c>
      <c r="B425" s="568" t="s">
        <v>1722</v>
      </c>
      <c r="C425" s="568" t="s">
        <v>1727</v>
      </c>
      <c r="D425" s="567">
        <v>6193</v>
      </c>
      <c r="E425" s="567">
        <v>5</v>
      </c>
      <c r="F425" s="567">
        <v>8</v>
      </c>
      <c r="G425" s="567">
        <v>326</v>
      </c>
      <c r="H425" s="567">
        <v>3100</v>
      </c>
      <c r="O425" s="568" t="s">
        <v>3119</v>
      </c>
      <c r="P425" s="22">
        <f t="shared" si="18"/>
        <v>3</v>
      </c>
      <c r="Q425" s="22">
        <f t="shared" si="19"/>
        <v>1230</v>
      </c>
      <c r="R425" s="22">
        <f t="shared" si="20"/>
        <v>1232</v>
      </c>
    </row>
    <row r="426" spans="1:18" x14ac:dyDescent="0.2">
      <c r="A426" s="567">
        <v>2168</v>
      </c>
      <c r="B426" s="568" t="s">
        <v>1722</v>
      </c>
      <c r="C426" s="568" t="s">
        <v>1728</v>
      </c>
      <c r="D426" s="567">
        <v>6194</v>
      </c>
      <c r="E426" s="567">
        <v>5</v>
      </c>
      <c r="F426" s="567">
        <v>8</v>
      </c>
      <c r="G426" s="567">
        <v>326</v>
      </c>
      <c r="H426" s="567">
        <v>3100</v>
      </c>
      <c r="O426" s="568" t="s">
        <v>1361</v>
      </c>
      <c r="P426" s="22">
        <f t="shared" si="18"/>
        <v>2</v>
      </c>
      <c r="Q426" s="22">
        <f t="shared" si="19"/>
        <v>1233</v>
      </c>
      <c r="R426" s="22">
        <f t="shared" si="20"/>
        <v>1234</v>
      </c>
    </row>
    <row r="427" spans="1:18" x14ac:dyDescent="0.2">
      <c r="A427" s="567">
        <v>2170</v>
      </c>
      <c r="B427" s="568" t="s">
        <v>1722</v>
      </c>
      <c r="C427" s="568" t="s">
        <v>1729</v>
      </c>
      <c r="D427" s="567">
        <v>6196</v>
      </c>
      <c r="E427" s="567">
        <v>5</v>
      </c>
      <c r="F427" s="567">
        <v>8</v>
      </c>
      <c r="G427" s="567">
        <v>326</v>
      </c>
      <c r="H427" s="567">
        <v>3100</v>
      </c>
      <c r="O427" s="568" t="s">
        <v>1574</v>
      </c>
      <c r="P427" s="22">
        <f t="shared" si="18"/>
        <v>1</v>
      </c>
      <c r="Q427" s="22">
        <f t="shared" si="19"/>
        <v>1235</v>
      </c>
      <c r="R427" s="22">
        <f t="shared" si="20"/>
        <v>1235</v>
      </c>
    </row>
    <row r="428" spans="1:18" x14ac:dyDescent="0.2">
      <c r="A428" s="567">
        <v>2172</v>
      </c>
      <c r="B428" s="568" t="s">
        <v>1722</v>
      </c>
      <c r="C428" s="568" t="s">
        <v>1732</v>
      </c>
      <c r="D428" s="567">
        <v>6198</v>
      </c>
      <c r="E428" s="567">
        <v>5</v>
      </c>
      <c r="F428" s="567">
        <v>8</v>
      </c>
      <c r="G428" s="567">
        <v>326</v>
      </c>
      <c r="H428" s="567">
        <v>3100</v>
      </c>
      <c r="O428" s="568" t="s">
        <v>222</v>
      </c>
      <c r="P428" s="22">
        <f t="shared" si="18"/>
        <v>1</v>
      </c>
      <c r="Q428" s="22">
        <f t="shared" si="19"/>
        <v>1236</v>
      </c>
      <c r="R428" s="22">
        <f t="shared" si="20"/>
        <v>1236</v>
      </c>
    </row>
    <row r="429" spans="1:18" x14ac:dyDescent="0.2">
      <c r="A429" s="567">
        <v>2169</v>
      </c>
      <c r="B429" s="568" t="s">
        <v>1722</v>
      </c>
      <c r="C429" s="568" t="s">
        <v>1734</v>
      </c>
      <c r="D429" s="567">
        <v>6195</v>
      </c>
      <c r="E429" s="567">
        <v>5</v>
      </c>
      <c r="F429" s="567">
        <v>8</v>
      </c>
      <c r="G429" s="567">
        <v>326</v>
      </c>
      <c r="H429" s="567">
        <v>3100</v>
      </c>
      <c r="O429" s="568" t="s">
        <v>1982</v>
      </c>
      <c r="P429" s="22">
        <f t="shared" si="18"/>
        <v>2</v>
      </c>
      <c r="Q429" s="22">
        <f t="shared" si="19"/>
        <v>1237</v>
      </c>
      <c r="R429" s="22">
        <f t="shared" si="20"/>
        <v>1238</v>
      </c>
    </row>
    <row r="430" spans="1:18" x14ac:dyDescent="0.2">
      <c r="A430" s="567">
        <v>955</v>
      </c>
      <c r="B430" s="568" t="s">
        <v>114</v>
      </c>
      <c r="C430" s="568" t="s">
        <v>113</v>
      </c>
      <c r="D430" s="567">
        <v>2475</v>
      </c>
      <c r="E430" s="567">
        <v>9</v>
      </c>
      <c r="F430" s="567">
        <v>18</v>
      </c>
      <c r="G430" s="567">
        <v>136</v>
      </c>
      <c r="H430" s="567">
        <v>1101</v>
      </c>
      <c r="O430" s="568" t="s">
        <v>1441</v>
      </c>
      <c r="P430" s="22">
        <f t="shared" si="18"/>
        <v>3</v>
      </c>
      <c r="Q430" s="22">
        <f t="shared" si="19"/>
        <v>1239</v>
      </c>
      <c r="R430" s="22">
        <f t="shared" si="20"/>
        <v>1241</v>
      </c>
    </row>
    <row r="431" spans="1:18" x14ac:dyDescent="0.2">
      <c r="A431" s="567">
        <v>697</v>
      </c>
      <c r="B431" s="568" t="s">
        <v>652</v>
      </c>
      <c r="C431" s="568" t="s">
        <v>652</v>
      </c>
      <c r="D431" s="567">
        <v>1540</v>
      </c>
      <c r="E431" s="567">
        <v>3</v>
      </c>
      <c r="F431" s="567">
        <v>2</v>
      </c>
      <c r="G431" s="567">
        <v>115</v>
      </c>
      <c r="H431" s="567">
        <v>1161</v>
      </c>
      <c r="O431" s="568" t="s">
        <v>751</v>
      </c>
      <c r="P431" s="22">
        <f t="shared" si="18"/>
        <v>1</v>
      </c>
      <c r="Q431" s="22">
        <f t="shared" si="19"/>
        <v>1242</v>
      </c>
      <c r="R431" s="22">
        <f t="shared" si="20"/>
        <v>1242</v>
      </c>
    </row>
    <row r="432" spans="1:18" x14ac:dyDescent="0.2">
      <c r="A432" s="567">
        <v>698</v>
      </c>
      <c r="B432" s="568" t="s">
        <v>652</v>
      </c>
      <c r="C432" s="568" t="s">
        <v>653</v>
      </c>
      <c r="D432" s="567">
        <v>1541</v>
      </c>
      <c r="E432" s="567">
        <v>3</v>
      </c>
      <c r="F432" s="567">
        <v>2</v>
      </c>
      <c r="G432" s="567">
        <v>115</v>
      </c>
      <c r="H432" s="567">
        <v>1161</v>
      </c>
      <c r="O432" s="568" t="s">
        <v>1386</v>
      </c>
      <c r="P432" s="22">
        <f t="shared" si="18"/>
        <v>1</v>
      </c>
      <c r="Q432" s="22">
        <f t="shared" si="19"/>
        <v>1243</v>
      </c>
      <c r="R432" s="22">
        <f t="shared" si="20"/>
        <v>1243</v>
      </c>
    </row>
    <row r="433" spans="1:18" x14ac:dyDescent="0.2">
      <c r="A433" s="567">
        <v>2635</v>
      </c>
      <c r="B433" s="568" t="s">
        <v>2994</v>
      </c>
      <c r="C433" s="568" t="s">
        <v>2994</v>
      </c>
      <c r="D433" s="567">
        <v>7570</v>
      </c>
      <c r="E433" s="567">
        <v>6</v>
      </c>
      <c r="F433" s="567">
        <v>17</v>
      </c>
      <c r="G433" s="567">
        <v>416</v>
      </c>
      <c r="H433" s="567">
        <v>4140</v>
      </c>
      <c r="O433" s="568" t="s">
        <v>3033</v>
      </c>
      <c r="P433" s="22">
        <f t="shared" si="18"/>
        <v>4</v>
      </c>
      <c r="Q433" s="22">
        <f t="shared" si="19"/>
        <v>1244</v>
      </c>
      <c r="R433" s="22">
        <f t="shared" si="20"/>
        <v>1247</v>
      </c>
    </row>
    <row r="434" spans="1:18" x14ac:dyDescent="0.2">
      <c r="A434" s="567">
        <v>2256</v>
      </c>
      <c r="B434" s="568" t="s">
        <v>2273</v>
      </c>
      <c r="C434" s="568" t="s">
        <v>2272</v>
      </c>
      <c r="D434" s="567">
        <v>6520</v>
      </c>
      <c r="E434" s="567">
        <v>98</v>
      </c>
      <c r="F434" s="567">
        <v>4</v>
      </c>
      <c r="G434" s="567">
        <v>335</v>
      </c>
      <c r="H434" s="567">
        <v>3151</v>
      </c>
      <c r="O434" s="568" t="s">
        <v>590</v>
      </c>
      <c r="P434" s="22">
        <f t="shared" si="18"/>
        <v>5</v>
      </c>
      <c r="Q434" s="22">
        <f t="shared" si="19"/>
        <v>1248</v>
      </c>
      <c r="R434" s="22">
        <f t="shared" si="20"/>
        <v>1252</v>
      </c>
    </row>
    <row r="435" spans="1:18" x14ac:dyDescent="0.2">
      <c r="A435" s="567">
        <v>2257</v>
      </c>
      <c r="B435" s="568" t="s">
        <v>2273</v>
      </c>
      <c r="C435" s="568" t="s">
        <v>2274</v>
      </c>
      <c r="D435" s="567">
        <v>6521</v>
      </c>
      <c r="E435" s="567">
        <v>98</v>
      </c>
      <c r="F435" s="567">
        <v>4</v>
      </c>
      <c r="G435" s="567">
        <v>335</v>
      </c>
      <c r="H435" s="567">
        <v>3151</v>
      </c>
      <c r="O435" s="568" t="s">
        <v>484</v>
      </c>
      <c r="P435" s="22">
        <f t="shared" si="18"/>
        <v>4</v>
      </c>
      <c r="Q435" s="22">
        <f t="shared" si="19"/>
        <v>1253</v>
      </c>
      <c r="R435" s="22">
        <f t="shared" si="20"/>
        <v>1256</v>
      </c>
    </row>
    <row r="436" spans="1:18" x14ac:dyDescent="0.2">
      <c r="A436" s="567">
        <v>3300</v>
      </c>
      <c r="B436" s="568" t="s">
        <v>2829</v>
      </c>
      <c r="C436" s="568" t="s">
        <v>2829</v>
      </c>
      <c r="D436" s="567">
        <v>9625</v>
      </c>
      <c r="E436" s="567">
        <v>18</v>
      </c>
      <c r="F436" s="567">
        <v>10</v>
      </c>
      <c r="G436" s="567">
        <v>436</v>
      </c>
      <c r="H436" s="567">
        <v>4120</v>
      </c>
      <c r="O436" s="568" t="s">
        <v>3061</v>
      </c>
      <c r="P436" s="22">
        <f t="shared" si="18"/>
        <v>3</v>
      </c>
      <c r="Q436" s="22">
        <f t="shared" si="19"/>
        <v>1257</v>
      </c>
      <c r="R436" s="22">
        <f t="shared" si="20"/>
        <v>1259</v>
      </c>
    </row>
    <row r="437" spans="1:18" x14ac:dyDescent="0.2">
      <c r="A437" s="567">
        <v>841</v>
      </c>
      <c r="B437" s="568" t="s">
        <v>471</v>
      </c>
      <c r="C437" s="568" t="s">
        <v>471</v>
      </c>
      <c r="D437" s="567">
        <v>2105</v>
      </c>
      <c r="E437" s="567">
        <v>10</v>
      </c>
      <c r="F437" s="567">
        <v>14</v>
      </c>
      <c r="G437" s="567">
        <v>117</v>
      </c>
      <c r="H437" s="567">
        <v>1130</v>
      </c>
      <c r="O437" s="568" t="s">
        <v>492</v>
      </c>
      <c r="P437" s="22">
        <f t="shared" si="18"/>
        <v>1</v>
      </c>
      <c r="Q437" s="22">
        <f t="shared" si="19"/>
        <v>1260</v>
      </c>
      <c r="R437" s="22">
        <f t="shared" si="20"/>
        <v>1260</v>
      </c>
    </row>
    <row r="438" spans="1:18" x14ac:dyDescent="0.2">
      <c r="A438" s="567">
        <v>842</v>
      </c>
      <c r="B438" s="568" t="s">
        <v>471</v>
      </c>
      <c r="C438" s="568" t="s">
        <v>472</v>
      </c>
      <c r="D438" s="567">
        <v>2106</v>
      </c>
      <c r="E438" s="567">
        <v>10</v>
      </c>
      <c r="F438" s="567">
        <v>14</v>
      </c>
      <c r="G438" s="567">
        <v>117</v>
      </c>
      <c r="H438" s="567">
        <v>1130</v>
      </c>
      <c r="O438" s="568" t="s">
        <v>3230</v>
      </c>
      <c r="P438" s="22">
        <f t="shared" si="18"/>
        <v>2</v>
      </c>
      <c r="Q438" s="22">
        <f t="shared" si="19"/>
        <v>1261</v>
      </c>
      <c r="R438" s="22">
        <f t="shared" si="20"/>
        <v>1262</v>
      </c>
    </row>
    <row r="439" spans="1:18" x14ac:dyDescent="0.2">
      <c r="A439" s="567">
        <v>843</v>
      </c>
      <c r="B439" s="568" t="s">
        <v>471</v>
      </c>
      <c r="C439" s="568" t="s">
        <v>473</v>
      </c>
      <c r="D439" s="567">
        <v>2107</v>
      </c>
      <c r="E439" s="567">
        <v>10</v>
      </c>
      <c r="F439" s="567">
        <v>14</v>
      </c>
      <c r="G439" s="567">
        <v>117</v>
      </c>
      <c r="H439" s="567">
        <v>1130</v>
      </c>
      <c r="O439" s="568" t="s">
        <v>673</v>
      </c>
      <c r="P439" s="22">
        <f t="shared" si="18"/>
        <v>7</v>
      </c>
      <c r="Q439" s="22">
        <f t="shared" si="19"/>
        <v>1263</v>
      </c>
      <c r="R439" s="22">
        <f t="shared" si="20"/>
        <v>1269</v>
      </c>
    </row>
    <row r="440" spans="1:18" x14ac:dyDescent="0.2">
      <c r="A440" s="567">
        <v>844</v>
      </c>
      <c r="B440" s="568" t="s">
        <v>471</v>
      </c>
      <c r="C440" s="568" t="s">
        <v>474</v>
      </c>
      <c r="D440" s="567">
        <v>2108</v>
      </c>
      <c r="E440" s="567">
        <v>10</v>
      </c>
      <c r="F440" s="567">
        <v>14</v>
      </c>
      <c r="G440" s="567">
        <v>117</v>
      </c>
      <c r="H440" s="567">
        <v>1130</v>
      </c>
      <c r="O440" s="568" t="s">
        <v>2520</v>
      </c>
      <c r="P440" s="22">
        <f t="shared" si="18"/>
        <v>7</v>
      </c>
      <c r="Q440" s="22">
        <f t="shared" si="19"/>
        <v>1270</v>
      </c>
      <c r="R440" s="22">
        <f t="shared" si="20"/>
        <v>1276</v>
      </c>
    </row>
    <row r="441" spans="1:18" x14ac:dyDescent="0.2">
      <c r="A441" s="567">
        <v>850</v>
      </c>
      <c r="B441" s="568" t="s">
        <v>424</v>
      </c>
      <c r="C441" s="568" t="s">
        <v>424</v>
      </c>
      <c r="D441" s="567">
        <v>2140</v>
      </c>
      <c r="E441" s="567">
        <v>12</v>
      </c>
      <c r="F441" s="567">
        <v>18</v>
      </c>
      <c r="G441" s="567">
        <v>117</v>
      </c>
      <c r="H441" s="567">
        <v>1130</v>
      </c>
      <c r="O441" s="568" t="s">
        <v>783</v>
      </c>
      <c r="P441" s="22">
        <f t="shared" si="18"/>
        <v>1</v>
      </c>
      <c r="Q441" s="22">
        <f t="shared" si="19"/>
        <v>1277</v>
      </c>
      <c r="R441" s="22">
        <f t="shared" si="20"/>
        <v>1277</v>
      </c>
    </row>
    <row r="442" spans="1:18" x14ac:dyDescent="0.2">
      <c r="A442" s="567">
        <v>2482</v>
      </c>
      <c r="B442" s="568" t="s">
        <v>2075</v>
      </c>
      <c r="C442" s="568" t="s">
        <v>2075</v>
      </c>
      <c r="D442" s="567">
        <v>7115</v>
      </c>
      <c r="E442" s="567">
        <v>10</v>
      </c>
      <c r="F442" s="567">
        <v>5</v>
      </c>
      <c r="G442" s="567">
        <v>336</v>
      </c>
      <c r="H442" s="567">
        <v>3130</v>
      </c>
      <c r="O442" s="568" t="s">
        <v>1557</v>
      </c>
      <c r="P442" s="22">
        <f t="shared" si="18"/>
        <v>2</v>
      </c>
      <c r="Q442" s="22">
        <f t="shared" si="19"/>
        <v>1278</v>
      </c>
      <c r="R442" s="22">
        <f t="shared" si="20"/>
        <v>1279</v>
      </c>
    </row>
    <row r="443" spans="1:18" x14ac:dyDescent="0.2">
      <c r="A443" s="567">
        <v>1945</v>
      </c>
      <c r="B443" s="568" t="s">
        <v>1907</v>
      </c>
      <c r="C443" s="568" t="s">
        <v>1906</v>
      </c>
      <c r="D443" s="567">
        <v>5501</v>
      </c>
      <c r="E443" s="567">
        <v>14</v>
      </c>
      <c r="F443" s="567">
        <v>3</v>
      </c>
      <c r="G443" s="567">
        <v>315</v>
      </c>
      <c r="H443" s="567">
        <v>3120</v>
      </c>
      <c r="O443" s="568" t="s">
        <v>115</v>
      </c>
      <c r="P443" s="22">
        <f t="shared" si="18"/>
        <v>2</v>
      </c>
      <c r="Q443" s="22">
        <f t="shared" si="19"/>
        <v>1280</v>
      </c>
      <c r="R443" s="22">
        <f t="shared" si="20"/>
        <v>1281</v>
      </c>
    </row>
    <row r="444" spans="1:18" x14ac:dyDescent="0.2">
      <c r="A444" s="567">
        <v>1944</v>
      </c>
      <c r="B444" s="568" t="s">
        <v>1907</v>
      </c>
      <c r="C444" s="568" t="s">
        <v>1907</v>
      </c>
      <c r="D444" s="567">
        <v>5500</v>
      </c>
      <c r="E444" s="567">
        <v>14</v>
      </c>
      <c r="F444" s="567">
        <v>3</v>
      </c>
      <c r="G444" s="567">
        <v>315</v>
      </c>
      <c r="H444" s="567">
        <v>3120</v>
      </c>
      <c r="O444" s="568" t="s">
        <v>111</v>
      </c>
      <c r="P444" s="22">
        <f t="shared" si="18"/>
        <v>1</v>
      </c>
      <c r="Q444" s="22">
        <f t="shared" si="19"/>
        <v>1282</v>
      </c>
      <c r="R444" s="22">
        <f t="shared" si="20"/>
        <v>1282</v>
      </c>
    </row>
    <row r="445" spans="1:18" x14ac:dyDescent="0.2">
      <c r="A445" s="567">
        <v>3228</v>
      </c>
      <c r="B445" s="568" t="s">
        <v>2852</v>
      </c>
      <c r="C445" s="568" t="s">
        <v>2852</v>
      </c>
      <c r="D445" s="567">
        <v>9300</v>
      </c>
      <c r="E445" s="567">
        <v>19</v>
      </c>
      <c r="F445" s="567">
        <v>11</v>
      </c>
      <c r="G445" s="567">
        <v>436</v>
      </c>
      <c r="H445" s="567">
        <v>4120</v>
      </c>
      <c r="O445" s="568" t="s">
        <v>1952</v>
      </c>
      <c r="P445" s="22">
        <f t="shared" si="18"/>
        <v>1</v>
      </c>
      <c r="Q445" s="22">
        <f t="shared" si="19"/>
        <v>1283</v>
      </c>
      <c r="R445" s="22">
        <f t="shared" si="20"/>
        <v>1283</v>
      </c>
    </row>
    <row r="446" spans="1:18" x14ac:dyDescent="0.2">
      <c r="A446" s="567">
        <v>731</v>
      </c>
      <c r="B446" s="568" t="s">
        <v>677</v>
      </c>
      <c r="C446" s="568" t="s">
        <v>677</v>
      </c>
      <c r="D446" s="567">
        <v>1675</v>
      </c>
      <c r="E446" s="567">
        <v>4</v>
      </c>
      <c r="F446" s="567">
        <v>2</v>
      </c>
      <c r="G446" s="567">
        <v>115</v>
      </c>
      <c r="H446" s="567">
        <v>1161</v>
      </c>
      <c r="O446" s="568" t="s">
        <v>698</v>
      </c>
      <c r="P446" s="22">
        <f t="shared" si="18"/>
        <v>1</v>
      </c>
      <c r="Q446" s="22">
        <f t="shared" si="19"/>
        <v>1284</v>
      </c>
      <c r="R446" s="22">
        <f t="shared" si="20"/>
        <v>1284</v>
      </c>
    </row>
    <row r="447" spans="1:18" x14ac:dyDescent="0.2">
      <c r="A447" s="567">
        <v>2335</v>
      </c>
      <c r="B447" s="568" t="s">
        <v>2552</v>
      </c>
      <c r="C447" s="568" t="s">
        <v>2551</v>
      </c>
      <c r="D447" s="567">
        <v>6733</v>
      </c>
      <c r="E447" s="567">
        <v>22</v>
      </c>
      <c r="F447" s="567">
        <v>8</v>
      </c>
      <c r="G447" s="567">
        <v>337</v>
      </c>
      <c r="H447" s="567">
        <v>3180</v>
      </c>
      <c r="O447" s="568" t="s">
        <v>2335</v>
      </c>
      <c r="P447" s="22">
        <f t="shared" si="18"/>
        <v>5</v>
      </c>
      <c r="Q447" s="22">
        <f t="shared" si="19"/>
        <v>1285</v>
      </c>
      <c r="R447" s="22">
        <f t="shared" si="20"/>
        <v>1289</v>
      </c>
    </row>
    <row r="448" spans="1:18" x14ac:dyDescent="0.2">
      <c r="A448" s="567">
        <v>2332</v>
      </c>
      <c r="B448" s="568" t="s">
        <v>2552</v>
      </c>
      <c r="C448" s="568" t="s">
        <v>2557</v>
      </c>
      <c r="D448" s="567">
        <v>6730</v>
      </c>
      <c r="E448" s="567">
        <v>22</v>
      </c>
      <c r="F448" s="567">
        <v>8</v>
      </c>
      <c r="G448" s="567">
        <v>337</v>
      </c>
      <c r="H448" s="567">
        <v>3180</v>
      </c>
      <c r="O448" s="568" t="s">
        <v>1908</v>
      </c>
      <c r="P448" s="22">
        <f t="shared" si="18"/>
        <v>1</v>
      </c>
      <c r="Q448" s="22">
        <f t="shared" si="19"/>
        <v>1290</v>
      </c>
      <c r="R448" s="22">
        <f t="shared" si="20"/>
        <v>1290</v>
      </c>
    </row>
    <row r="449" spans="1:18" x14ac:dyDescent="0.2">
      <c r="A449" s="567">
        <v>2334</v>
      </c>
      <c r="B449" s="568" t="s">
        <v>2552</v>
      </c>
      <c r="C449" s="568" t="s">
        <v>2558</v>
      </c>
      <c r="D449" s="567">
        <v>6732</v>
      </c>
      <c r="E449" s="567">
        <v>22</v>
      </c>
      <c r="F449" s="567">
        <v>8</v>
      </c>
      <c r="G449" s="567">
        <v>337</v>
      </c>
      <c r="H449" s="567">
        <v>3180</v>
      </c>
      <c r="O449" s="568" t="s">
        <v>3001</v>
      </c>
      <c r="P449" s="22">
        <f t="shared" si="18"/>
        <v>1</v>
      </c>
      <c r="Q449" s="22">
        <f t="shared" si="19"/>
        <v>1291</v>
      </c>
      <c r="R449" s="22">
        <f t="shared" si="20"/>
        <v>1291</v>
      </c>
    </row>
    <row r="450" spans="1:18" x14ac:dyDescent="0.2">
      <c r="A450" s="567">
        <v>2336</v>
      </c>
      <c r="B450" s="568" t="s">
        <v>2552</v>
      </c>
      <c r="C450" s="568" t="s">
        <v>1977</v>
      </c>
      <c r="D450" s="567">
        <v>6734</v>
      </c>
      <c r="E450" s="567">
        <v>22</v>
      </c>
      <c r="F450" s="567">
        <v>8</v>
      </c>
      <c r="G450" s="567">
        <v>337</v>
      </c>
      <c r="H450" s="567">
        <v>3180</v>
      </c>
      <c r="O450" s="568" t="s">
        <v>1372</v>
      </c>
      <c r="P450" s="22">
        <f t="shared" si="18"/>
        <v>2</v>
      </c>
      <c r="Q450" s="22">
        <f t="shared" si="19"/>
        <v>1292</v>
      </c>
      <c r="R450" s="22">
        <f t="shared" si="20"/>
        <v>1293</v>
      </c>
    </row>
    <row r="451" spans="1:18" x14ac:dyDescent="0.2">
      <c r="A451" s="567">
        <v>2337</v>
      </c>
      <c r="B451" s="568" t="s">
        <v>2552</v>
      </c>
      <c r="C451" s="568" t="s">
        <v>2560</v>
      </c>
      <c r="D451" s="567">
        <v>6735</v>
      </c>
      <c r="E451" s="567">
        <v>22</v>
      </c>
      <c r="F451" s="567">
        <v>8</v>
      </c>
      <c r="G451" s="567">
        <v>337</v>
      </c>
      <c r="H451" s="567">
        <v>3180</v>
      </c>
      <c r="O451" s="568" t="s">
        <v>757</v>
      </c>
      <c r="P451" s="22">
        <f t="shared" si="18"/>
        <v>4</v>
      </c>
      <c r="Q451" s="22">
        <f t="shared" si="19"/>
        <v>1294</v>
      </c>
      <c r="R451" s="22">
        <f t="shared" si="20"/>
        <v>1297</v>
      </c>
    </row>
    <row r="452" spans="1:18" x14ac:dyDescent="0.2">
      <c r="A452" s="567">
        <v>2338</v>
      </c>
      <c r="B452" s="568" t="s">
        <v>2552</v>
      </c>
      <c r="C452" s="568" t="s">
        <v>2561</v>
      </c>
      <c r="D452" s="567">
        <v>6736</v>
      </c>
      <c r="E452" s="567">
        <v>22</v>
      </c>
      <c r="F452" s="567">
        <v>8</v>
      </c>
      <c r="G452" s="567">
        <v>337</v>
      </c>
      <c r="H452" s="567">
        <v>3180</v>
      </c>
      <c r="O452" s="568" t="s">
        <v>2588</v>
      </c>
      <c r="P452" s="22">
        <f t="shared" si="18"/>
        <v>3</v>
      </c>
      <c r="Q452" s="22">
        <f t="shared" si="19"/>
        <v>1298</v>
      </c>
      <c r="R452" s="22">
        <f t="shared" si="20"/>
        <v>1300</v>
      </c>
    </row>
    <row r="453" spans="1:18" x14ac:dyDescent="0.2">
      <c r="A453" s="567">
        <v>2339</v>
      </c>
      <c r="B453" s="568" t="s">
        <v>2552</v>
      </c>
      <c r="C453" s="568" t="s">
        <v>2410</v>
      </c>
      <c r="D453" s="567">
        <v>6737</v>
      </c>
      <c r="E453" s="567">
        <v>22</v>
      </c>
      <c r="F453" s="567">
        <v>8</v>
      </c>
      <c r="G453" s="567">
        <v>337</v>
      </c>
      <c r="H453" s="567">
        <v>3180</v>
      </c>
      <c r="O453" s="568" t="s">
        <v>1453</v>
      </c>
      <c r="P453" s="22">
        <f t="shared" si="18"/>
        <v>1</v>
      </c>
      <c r="Q453" s="22">
        <f t="shared" si="19"/>
        <v>1301</v>
      </c>
      <c r="R453" s="22">
        <f t="shared" si="20"/>
        <v>1301</v>
      </c>
    </row>
    <row r="454" spans="1:18" x14ac:dyDescent="0.2">
      <c r="A454" s="567">
        <v>2340</v>
      </c>
      <c r="B454" s="568" t="s">
        <v>2552</v>
      </c>
      <c r="C454" s="568" t="s">
        <v>2562</v>
      </c>
      <c r="D454" s="567">
        <v>6738</v>
      </c>
      <c r="E454" s="567">
        <v>22</v>
      </c>
      <c r="F454" s="567">
        <v>8</v>
      </c>
      <c r="G454" s="567">
        <v>337</v>
      </c>
      <c r="H454" s="567">
        <v>3180</v>
      </c>
      <c r="O454" s="568" t="s">
        <v>1644</v>
      </c>
      <c r="P454" s="22">
        <f t="shared" si="18"/>
        <v>1</v>
      </c>
      <c r="Q454" s="22">
        <f t="shared" si="19"/>
        <v>1302</v>
      </c>
      <c r="R454" s="22">
        <f t="shared" si="20"/>
        <v>1302</v>
      </c>
    </row>
    <row r="455" spans="1:18" x14ac:dyDescent="0.2">
      <c r="A455" s="567">
        <v>2333</v>
      </c>
      <c r="B455" s="568" t="s">
        <v>2552</v>
      </c>
      <c r="C455" s="568" t="s">
        <v>424</v>
      </c>
      <c r="D455" s="567">
        <v>6731</v>
      </c>
      <c r="E455" s="567">
        <v>22</v>
      </c>
      <c r="F455" s="567">
        <v>8</v>
      </c>
      <c r="G455" s="567">
        <v>337</v>
      </c>
      <c r="H455" s="567">
        <v>3180</v>
      </c>
      <c r="O455" s="568" t="s">
        <v>2161</v>
      </c>
      <c r="P455" s="22">
        <f t="shared" si="18"/>
        <v>1</v>
      </c>
      <c r="Q455" s="22">
        <f t="shared" si="19"/>
        <v>1303</v>
      </c>
      <c r="R455" s="22">
        <f t="shared" si="20"/>
        <v>1303</v>
      </c>
    </row>
    <row r="456" spans="1:18" x14ac:dyDescent="0.2">
      <c r="A456" s="567">
        <v>494</v>
      </c>
      <c r="B456" s="568" t="s">
        <v>767</v>
      </c>
      <c r="C456" s="568" t="s">
        <v>766</v>
      </c>
      <c r="D456" s="567">
        <v>977</v>
      </c>
      <c r="E456" s="567">
        <v>10</v>
      </c>
      <c r="F456" s="567">
        <v>1</v>
      </c>
      <c r="G456" s="567">
        <v>118</v>
      </c>
      <c r="H456" s="567">
        <v>1170</v>
      </c>
      <c r="O456" s="568" t="s">
        <v>2126</v>
      </c>
      <c r="P456" s="22">
        <f t="shared" si="18"/>
        <v>3</v>
      </c>
      <c r="Q456" s="22">
        <f t="shared" si="19"/>
        <v>1304</v>
      </c>
      <c r="R456" s="22">
        <f t="shared" si="20"/>
        <v>1306</v>
      </c>
    </row>
    <row r="457" spans="1:18" x14ac:dyDescent="0.2">
      <c r="A457" s="567">
        <v>493</v>
      </c>
      <c r="B457" s="568" t="s">
        <v>767</v>
      </c>
      <c r="C457" s="568" t="s">
        <v>157</v>
      </c>
      <c r="D457" s="567">
        <v>976</v>
      </c>
      <c r="E457" s="567">
        <v>10</v>
      </c>
      <c r="F457" s="567">
        <v>1</v>
      </c>
      <c r="G457" s="567">
        <v>118</v>
      </c>
      <c r="H457" s="567">
        <v>1170</v>
      </c>
      <c r="O457" s="568" t="s">
        <v>2288</v>
      </c>
      <c r="P457" s="22">
        <f t="shared" si="18"/>
        <v>5</v>
      </c>
      <c r="Q457" s="22">
        <f t="shared" si="19"/>
        <v>1307</v>
      </c>
      <c r="R457" s="22">
        <f t="shared" si="20"/>
        <v>1311</v>
      </c>
    </row>
    <row r="458" spans="1:18" x14ac:dyDescent="0.2">
      <c r="A458" s="567">
        <v>492</v>
      </c>
      <c r="B458" s="568" t="s">
        <v>767</v>
      </c>
      <c r="C458" s="568" t="s">
        <v>767</v>
      </c>
      <c r="D458" s="567">
        <v>975</v>
      </c>
      <c r="E458" s="567">
        <v>10</v>
      </c>
      <c r="F458" s="567">
        <v>1</v>
      </c>
      <c r="G458" s="567">
        <v>118</v>
      </c>
      <c r="H458" s="567">
        <v>1170</v>
      </c>
      <c r="O458" s="568" t="s">
        <v>70</v>
      </c>
      <c r="P458" s="22">
        <f t="shared" si="18"/>
        <v>1</v>
      </c>
      <c r="Q458" s="22">
        <f t="shared" si="19"/>
        <v>1312</v>
      </c>
      <c r="R458" s="22">
        <f t="shared" si="20"/>
        <v>1312</v>
      </c>
    </row>
    <row r="459" spans="1:18" x14ac:dyDescent="0.2">
      <c r="A459" s="567">
        <v>938</v>
      </c>
      <c r="B459" s="568" t="s">
        <v>131</v>
      </c>
      <c r="C459" s="568" t="s">
        <v>131</v>
      </c>
      <c r="D459" s="567">
        <v>2435</v>
      </c>
      <c r="E459" s="567">
        <v>10</v>
      </c>
      <c r="F459" s="567">
        <v>13</v>
      </c>
      <c r="G459" s="567">
        <v>136</v>
      </c>
      <c r="H459" s="567">
        <v>1101</v>
      </c>
      <c r="O459" s="568" t="s">
        <v>766</v>
      </c>
      <c r="P459" s="22">
        <f t="shared" si="18"/>
        <v>5</v>
      </c>
      <c r="Q459" s="22">
        <f t="shared" si="19"/>
        <v>1313</v>
      </c>
      <c r="R459" s="22">
        <f t="shared" si="20"/>
        <v>1317</v>
      </c>
    </row>
    <row r="460" spans="1:18" x14ac:dyDescent="0.2">
      <c r="A460" s="567">
        <v>939</v>
      </c>
      <c r="B460" s="568" t="s">
        <v>131</v>
      </c>
      <c r="C460" s="568" t="s">
        <v>147</v>
      </c>
      <c r="D460" s="567">
        <v>2436</v>
      </c>
      <c r="E460" s="567">
        <v>10</v>
      </c>
      <c r="F460" s="567">
        <v>13</v>
      </c>
      <c r="G460" s="567">
        <v>136</v>
      </c>
      <c r="H460" s="567">
        <v>1101</v>
      </c>
      <c r="O460" s="568" t="s">
        <v>2470</v>
      </c>
      <c r="P460" s="22">
        <f t="shared" si="18"/>
        <v>8</v>
      </c>
      <c r="Q460" s="22">
        <f t="shared" si="19"/>
        <v>1318</v>
      </c>
      <c r="R460" s="22">
        <f t="shared" si="20"/>
        <v>1325</v>
      </c>
    </row>
    <row r="461" spans="1:18" x14ac:dyDescent="0.2">
      <c r="A461" s="567">
        <v>940</v>
      </c>
      <c r="B461" s="568" t="s">
        <v>131</v>
      </c>
      <c r="C461" s="568" t="s">
        <v>148</v>
      </c>
      <c r="D461" s="567">
        <v>2437</v>
      </c>
      <c r="E461" s="567">
        <v>10</v>
      </c>
      <c r="F461" s="567">
        <v>13</v>
      </c>
      <c r="G461" s="567">
        <v>136</v>
      </c>
      <c r="H461" s="567">
        <v>1101</v>
      </c>
      <c r="O461" s="568" t="s">
        <v>2471</v>
      </c>
      <c r="P461" s="22">
        <f t="shared" si="18"/>
        <v>4</v>
      </c>
      <c r="Q461" s="22">
        <f t="shared" si="19"/>
        <v>1326</v>
      </c>
      <c r="R461" s="22">
        <f t="shared" si="20"/>
        <v>1329</v>
      </c>
    </row>
    <row r="462" spans="1:18" x14ac:dyDescent="0.2">
      <c r="A462" s="567">
        <v>941</v>
      </c>
      <c r="B462" s="568" t="s">
        <v>131</v>
      </c>
      <c r="C462" s="568" t="s">
        <v>149</v>
      </c>
      <c r="D462" s="567">
        <v>2438</v>
      </c>
      <c r="E462" s="567">
        <v>10</v>
      </c>
      <c r="F462" s="567">
        <v>13</v>
      </c>
      <c r="G462" s="567">
        <v>136</v>
      </c>
      <c r="H462" s="567">
        <v>1101</v>
      </c>
      <c r="O462" s="568" t="s">
        <v>696</v>
      </c>
      <c r="P462" s="22">
        <f t="shared" si="18"/>
        <v>1</v>
      </c>
      <c r="Q462" s="22">
        <f t="shared" si="19"/>
        <v>1330</v>
      </c>
      <c r="R462" s="22">
        <f t="shared" si="20"/>
        <v>1330</v>
      </c>
    </row>
    <row r="463" spans="1:18" x14ac:dyDescent="0.2">
      <c r="A463" s="567">
        <v>942</v>
      </c>
      <c r="B463" s="568" t="s">
        <v>131</v>
      </c>
      <c r="C463" s="568" t="s">
        <v>150</v>
      </c>
      <c r="D463" s="567">
        <v>2439</v>
      </c>
      <c r="E463" s="567">
        <v>10</v>
      </c>
      <c r="F463" s="567">
        <v>13</v>
      </c>
      <c r="G463" s="567">
        <v>136</v>
      </c>
      <c r="H463" s="567">
        <v>1101</v>
      </c>
      <c r="O463" s="568" t="s">
        <v>3255</v>
      </c>
      <c r="P463" s="22">
        <f t="shared" ref="P463:P526" si="21">COUNTIF($B$13:$B$3400,O463)</f>
        <v>1</v>
      </c>
      <c r="Q463" s="22">
        <f t="shared" si="19"/>
        <v>1331</v>
      </c>
      <c r="R463" s="22">
        <f t="shared" si="20"/>
        <v>1331</v>
      </c>
    </row>
    <row r="464" spans="1:18" x14ac:dyDescent="0.2">
      <c r="A464" s="567">
        <v>943</v>
      </c>
      <c r="B464" s="568" t="s">
        <v>131</v>
      </c>
      <c r="C464" s="568" t="s">
        <v>151</v>
      </c>
      <c r="D464" s="567">
        <v>2440</v>
      </c>
      <c r="E464" s="567">
        <v>10</v>
      </c>
      <c r="F464" s="567">
        <v>13</v>
      </c>
      <c r="G464" s="567">
        <v>136</v>
      </c>
      <c r="H464" s="567">
        <v>1101</v>
      </c>
      <c r="O464" s="568" t="s">
        <v>825</v>
      </c>
      <c r="P464" s="22">
        <f t="shared" si="21"/>
        <v>1</v>
      </c>
      <c r="Q464" s="22">
        <f t="shared" si="19"/>
        <v>1332</v>
      </c>
      <c r="R464" s="22">
        <f t="shared" si="20"/>
        <v>1332</v>
      </c>
    </row>
    <row r="465" spans="1:18" x14ac:dyDescent="0.2">
      <c r="A465" s="567">
        <v>944</v>
      </c>
      <c r="B465" s="568" t="s">
        <v>131</v>
      </c>
      <c r="C465" s="568" t="s">
        <v>152</v>
      </c>
      <c r="D465" s="567">
        <v>2441</v>
      </c>
      <c r="E465" s="567">
        <v>10</v>
      </c>
      <c r="F465" s="567">
        <v>13</v>
      </c>
      <c r="G465" s="567">
        <v>136</v>
      </c>
      <c r="H465" s="567">
        <v>1101</v>
      </c>
      <c r="O465" s="568" t="s">
        <v>1532</v>
      </c>
      <c r="P465" s="22">
        <f t="shared" si="21"/>
        <v>2</v>
      </c>
      <c r="Q465" s="22">
        <f t="shared" ref="Q465:Q528" si="22">R464+1</f>
        <v>1333</v>
      </c>
      <c r="R465" s="22">
        <f t="shared" ref="R465:R528" si="23">R464+P465</f>
        <v>1334</v>
      </c>
    </row>
    <row r="466" spans="1:18" x14ac:dyDescent="0.2">
      <c r="A466" s="567">
        <v>945</v>
      </c>
      <c r="B466" s="568" t="s">
        <v>131</v>
      </c>
      <c r="C466" s="568" t="s">
        <v>153</v>
      </c>
      <c r="D466" s="567">
        <v>2442</v>
      </c>
      <c r="E466" s="567">
        <v>10</v>
      </c>
      <c r="F466" s="567">
        <v>13</v>
      </c>
      <c r="G466" s="567">
        <v>136</v>
      </c>
      <c r="H466" s="567">
        <v>1101</v>
      </c>
      <c r="O466" s="568" t="s">
        <v>1170</v>
      </c>
      <c r="P466" s="22">
        <f t="shared" si="21"/>
        <v>19</v>
      </c>
      <c r="Q466" s="22">
        <f t="shared" si="22"/>
        <v>1335</v>
      </c>
      <c r="R466" s="22">
        <f t="shared" si="23"/>
        <v>1353</v>
      </c>
    </row>
    <row r="467" spans="1:18" x14ac:dyDescent="0.2">
      <c r="A467" s="567">
        <v>2839</v>
      </c>
      <c r="B467" s="568" t="s">
        <v>3253</v>
      </c>
      <c r="C467" s="568" t="s">
        <v>3253</v>
      </c>
      <c r="D467" s="567">
        <v>8160</v>
      </c>
      <c r="E467" s="567">
        <v>22</v>
      </c>
      <c r="F467" s="567">
        <v>13</v>
      </c>
      <c r="G467" s="567">
        <v>425</v>
      </c>
      <c r="H467" s="567">
        <v>4170</v>
      </c>
      <c r="O467" s="568" t="s">
        <v>1924</v>
      </c>
      <c r="P467" s="22">
        <f t="shared" si="21"/>
        <v>1</v>
      </c>
      <c r="Q467" s="22">
        <f t="shared" si="22"/>
        <v>1354</v>
      </c>
      <c r="R467" s="22">
        <f t="shared" si="23"/>
        <v>1354</v>
      </c>
    </row>
    <row r="468" spans="1:18" x14ac:dyDescent="0.2">
      <c r="A468" s="567">
        <v>810</v>
      </c>
      <c r="B468" s="568" t="s">
        <v>421</v>
      </c>
      <c r="C468" s="568" t="s">
        <v>421</v>
      </c>
      <c r="D468" s="567">
        <v>1995</v>
      </c>
      <c r="E468" s="567">
        <v>11</v>
      </c>
      <c r="F468" s="567">
        <v>18</v>
      </c>
      <c r="G468" s="567">
        <v>117</v>
      </c>
      <c r="H468" s="567">
        <v>1130</v>
      </c>
      <c r="O468" s="568" t="s">
        <v>2791</v>
      </c>
      <c r="P468" s="22">
        <f t="shared" si="21"/>
        <v>4</v>
      </c>
      <c r="Q468" s="22">
        <f t="shared" si="22"/>
        <v>1355</v>
      </c>
      <c r="R468" s="22">
        <f t="shared" si="23"/>
        <v>1358</v>
      </c>
    </row>
    <row r="469" spans="1:18" x14ac:dyDescent="0.2">
      <c r="A469" s="567">
        <v>2067</v>
      </c>
      <c r="B469" s="568" t="s">
        <v>1242</v>
      </c>
      <c r="C469" s="568" t="s">
        <v>380</v>
      </c>
      <c r="D469" s="567">
        <v>5891</v>
      </c>
      <c r="E469" s="567">
        <v>9</v>
      </c>
      <c r="F469" s="567">
        <v>17</v>
      </c>
      <c r="G469" s="567">
        <v>325</v>
      </c>
      <c r="H469" s="567">
        <v>3160</v>
      </c>
      <c r="O469" s="568" t="s">
        <v>1000</v>
      </c>
      <c r="P469" s="22">
        <f t="shared" si="21"/>
        <v>3</v>
      </c>
      <c r="Q469" s="22">
        <f t="shared" si="22"/>
        <v>1359</v>
      </c>
      <c r="R469" s="22">
        <f t="shared" si="23"/>
        <v>1361</v>
      </c>
    </row>
    <row r="470" spans="1:18" x14ac:dyDescent="0.2">
      <c r="A470" s="567">
        <v>2066</v>
      </c>
      <c r="B470" s="568" t="s">
        <v>1242</v>
      </c>
      <c r="C470" s="568" t="s">
        <v>1242</v>
      </c>
      <c r="D470" s="567">
        <v>5890</v>
      </c>
      <c r="E470" s="567">
        <v>9</v>
      </c>
      <c r="F470" s="567">
        <v>17</v>
      </c>
      <c r="G470" s="567">
        <v>325</v>
      </c>
      <c r="H470" s="567">
        <v>3160</v>
      </c>
      <c r="O470" s="568" t="s">
        <v>2851</v>
      </c>
      <c r="P470" s="22">
        <f t="shared" si="21"/>
        <v>2</v>
      </c>
      <c r="Q470" s="22">
        <f t="shared" si="22"/>
        <v>1362</v>
      </c>
      <c r="R470" s="22">
        <f t="shared" si="23"/>
        <v>1363</v>
      </c>
    </row>
    <row r="471" spans="1:18" x14ac:dyDescent="0.2">
      <c r="A471" s="567">
        <v>2182</v>
      </c>
      <c r="B471" s="568" t="s">
        <v>2447</v>
      </c>
      <c r="C471" s="568" t="s">
        <v>2447</v>
      </c>
      <c r="D471" s="567">
        <v>6255</v>
      </c>
      <c r="E471" s="567">
        <v>6</v>
      </c>
      <c r="F471" s="567">
        <v>15</v>
      </c>
      <c r="G471" s="567">
        <v>327</v>
      </c>
      <c r="H471" s="567">
        <v>3170</v>
      </c>
      <c r="O471" s="568" t="s">
        <v>1460</v>
      </c>
      <c r="P471" s="22">
        <f t="shared" si="21"/>
        <v>2</v>
      </c>
      <c r="Q471" s="22">
        <f t="shared" si="22"/>
        <v>1364</v>
      </c>
      <c r="R471" s="22">
        <f t="shared" si="23"/>
        <v>1365</v>
      </c>
    </row>
    <row r="472" spans="1:18" x14ac:dyDescent="0.2">
      <c r="A472" s="567">
        <v>1885</v>
      </c>
      <c r="B472" s="568" t="s">
        <v>1923</v>
      </c>
      <c r="C472" s="568" t="s">
        <v>1923</v>
      </c>
      <c r="D472" s="567">
        <v>5280</v>
      </c>
      <c r="E472" s="567">
        <v>13</v>
      </c>
      <c r="F472" s="567">
        <v>3</v>
      </c>
      <c r="G472" s="567">
        <v>315</v>
      </c>
      <c r="H472" s="567">
        <v>3120</v>
      </c>
      <c r="O472" s="568" t="s">
        <v>1724</v>
      </c>
      <c r="P472" s="22">
        <f t="shared" si="21"/>
        <v>6</v>
      </c>
      <c r="Q472" s="22">
        <f t="shared" si="22"/>
        <v>1366</v>
      </c>
      <c r="R472" s="22">
        <f t="shared" si="23"/>
        <v>1371</v>
      </c>
    </row>
    <row r="473" spans="1:18" x14ac:dyDescent="0.2">
      <c r="A473" s="567">
        <v>88</v>
      </c>
      <c r="B473" s="568" t="s">
        <v>321</v>
      </c>
      <c r="C473" s="568" t="s">
        <v>320</v>
      </c>
      <c r="D473" s="567">
        <v>132</v>
      </c>
      <c r="E473" s="567">
        <v>14</v>
      </c>
      <c r="F473" s="567">
        <v>21</v>
      </c>
      <c r="G473" s="567">
        <v>128</v>
      </c>
      <c r="H473" s="567">
        <v>1121</v>
      </c>
      <c r="O473" s="568" t="s">
        <v>1110</v>
      </c>
      <c r="P473" s="22">
        <f t="shared" si="21"/>
        <v>1</v>
      </c>
      <c r="Q473" s="22">
        <f t="shared" si="22"/>
        <v>1372</v>
      </c>
      <c r="R473" s="22">
        <f t="shared" si="23"/>
        <v>1372</v>
      </c>
    </row>
    <row r="474" spans="1:18" x14ac:dyDescent="0.2">
      <c r="A474" s="567">
        <v>77</v>
      </c>
      <c r="B474" s="568" t="s">
        <v>321</v>
      </c>
      <c r="C474" s="568" t="s">
        <v>322</v>
      </c>
      <c r="D474" s="567">
        <v>121</v>
      </c>
      <c r="E474" s="567">
        <v>14</v>
      </c>
      <c r="F474" s="567">
        <v>21</v>
      </c>
      <c r="G474" s="567">
        <v>128</v>
      </c>
      <c r="H474" s="567">
        <v>1121</v>
      </c>
      <c r="O474" s="568" t="s">
        <v>2908</v>
      </c>
      <c r="P474" s="22">
        <f t="shared" si="21"/>
        <v>1</v>
      </c>
      <c r="Q474" s="22">
        <f t="shared" si="22"/>
        <v>1373</v>
      </c>
      <c r="R474" s="22">
        <f t="shared" si="23"/>
        <v>1373</v>
      </c>
    </row>
    <row r="475" spans="1:18" x14ac:dyDescent="0.2">
      <c r="A475" s="567">
        <v>78</v>
      </c>
      <c r="B475" s="568" t="s">
        <v>321</v>
      </c>
      <c r="C475" s="568" t="s">
        <v>323</v>
      </c>
      <c r="D475" s="567">
        <v>122</v>
      </c>
      <c r="E475" s="567">
        <v>14</v>
      </c>
      <c r="F475" s="567">
        <v>21</v>
      </c>
      <c r="G475" s="567">
        <v>128</v>
      </c>
      <c r="H475" s="567">
        <v>1121</v>
      </c>
      <c r="O475" s="568" t="s">
        <v>3192</v>
      </c>
      <c r="P475" s="22">
        <f t="shared" si="21"/>
        <v>1</v>
      </c>
      <c r="Q475" s="22">
        <f t="shared" si="22"/>
        <v>1374</v>
      </c>
      <c r="R475" s="22">
        <f t="shared" si="23"/>
        <v>1374</v>
      </c>
    </row>
    <row r="476" spans="1:18" x14ac:dyDescent="0.2">
      <c r="A476" s="567">
        <v>79</v>
      </c>
      <c r="B476" s="568" t="s">
        <v>321</v>
      </c>
      <c r="C476" s="568" t="s">
        <v>324</v>
      </c>
      <c r="D476" s="567">
        <v>123</v>
      </c>
      <c r="E476" s="567">
        <v>14</v>
      </c>
      <c r="F476" s="567">
        <v>21</v>
      </c>
      <c r="G476" s="567">
        <v>128</v>
      </c>
      <c r="H476" s="567">
        <v>1121</v>
      </c>
      <c r="O476" s="568" t="s">
        <v>75</v>
      </c>
      <c r="P476" s="22">
        <f t="shared" si="21"/>
        <v>1</v>
      </c>
      <c r="Q476" s="22">
        <f t="shared" si="22"/>
        <v>1375</v>
      </c>
      <c r="R476" s="22">
        <f t="shared" si="23"/>
        <v>1375</v>
      </c>
    </row>
    <row r="477" spans="1:18" x14ac:dyDescent="0.2">
      <c r="A477" s="567">
        <v>80</v>
      </c>
      <c r="B477" s="568" t="s">
        <v>321</v>
      </c>
      <c r="C477" s="568" t="s">
        <v>325</v>
      </c>
      <c r="D477" s="567">
        <v>124</v>
      </c>
      <c r="E477" s="567">
        <v>14</v>
      </c>
      <c r="F477" s="567">
        <v>21</v>
      </c>
      <c r="G477" s="567">
        <v>128</v>
      </c>
      <c r="H477" s="567">
        <v>1121</v>
      </c>
      <c r="O477" s="568" t="s">
        <v>2142</v>
      </c>
      <c r="P477" s="22">
        <f t="shared" si="21"/>
        <v>1</v>
      </c>
      <c r="Q477" s="22">
        <f t="shared" si="22"/>
        <v>1376</v>
      </c>
      <c r="R477" s="22">
        <f t="shared" si="23"/>
        <v>1376</v>
      </c>
    </row>
    <row r="478" spans="1:18" x14ac:dyDescent="0.2">
      <c r="A478" s="567">
        <v>81</v>
      </c>
      <c r="B478" s="568" t="s">
        <v>321</v>
      </c>
      <c r="C478" s="568" t="s">
        <v>326</v>
      </c>
      <c r="D478" s="567">
        <v>125</v>
      </c>
      <c r="E478" s="567">
        <v>14</v>
      </c>
      <c r="F478" s="567">
        <v>21</v>
      </c>
      <c r="G478" s="567">
        <v>128</v>
      </c>
      <c r="H478" s="567">
        <v>1121</v>
      </c>
      <c r="O478" s="568" t="s">
        <v>1129</v>
      </c>
      <c r="P478" s="22">
        <f t="shared" si="21"/>
        <v>1</v>
      </c>
      <c r="Q478" s="22">
        <f t="shared" si="22"/>
        <v>1377</v>
      </c>
      <c r="R478" s="22">
        <f t="shared" si="23"/>
        <v>1377</v>
      </c>
    </row>
    <row r="479" spans="1:18" x14ac:dyDescent="0.2">
      <c r="A479" s="567">
        <v>82</v>
      </c>
      <c r="B479" s="568" t="s">
        <v>321</v>
      </c>
      <c r="C479" s="568" t="s">
        <v>327</v>
      </c>
      <c r="D479" s="567">
        <v>126</v>
      </c>
      <c r="E479" s="567">
        <v>14</v>
      </c>
      <c r="F479" s="567">
        <v>21</v>
      </c>
      <c r="G479" s="567">
        <v>128</v>
      </c>
      <c r="H479" s="567">
        <v>1121</v>
      </c>
      <c r="O479" s="568" t="s">
        <v>333</v>
      </c>
      <c r="P479" s="22">
        <f t="shared" si="21"/>
        <v>5</v>
      </c>
      <c r="Q479" s="22">
        <f t="shared" si="22"/>
        <v>1378</v>
      </c>
      <c r="R479" s="22">
        <f t="shared" si="23"/>
        <v>1382</v>
      </c>
    </row>
    <row r="480" spans="1:18" x14ac:dyDescent="0.2">
      <c r="A480" s="567">
        <v>83</v>
      </c>
      <c r="B480" s="568" t="s">
        <v>321</v>
      </c>
      <c r="C480" s="568" t="s">
        <v>328</v>
      </c>
      <c r="D480" s="567">
        <v>127</v>
      </c>
      <c r="E480" s="567">
        <v>14</v>
      </c>
      <c r="F480" s="567">
        <v>21</v>
      </c>
      <c r="G480" s="567">
        <v>128</v>
      </c>
      <c r="H480" s="567">
        <v>1121</v>
      </c>
      <c r="O480" s="568" t="s">
        <v>74</v>
      </c>
      <c r="P480" s="22">
        <f t="shared" si="21"/>
        <v>1</v>
      </c>
      <c r="Q480" s="22">
        <f t="shared" si="22"/>
        <v>1383</v>
      </c>
      <c r="R480" s="22">
        <f t="shared" si="23"/>
        <v>1383</v>
      </c>
    </row>
    <row r="481" spans="1:18" x14ac:dyDescent="0.2">
      <c r="A481" s="567">
        <v>84</v>
      </c>
      <c r="B481" s="568" t="s">
        <v>321</v>
      </c>
      <c r="C481" s="568" t="s">
        <v>329</v>
      </c>
      <c r="D481" s="567">
        <v>128</v>
      </c>
      <c r="E481" s="567">
        <v>14</v>
      </c>
      <c r="F481" s="567">
        <v>21</v>
      </c>
      <c r="G481" s="567">
        <v>128</v>
      </c>
      <c r="H481" s="567">
        <v>1121</v>
      </c>
      <c r="O481" s="568" t="s">
        <v>1930</v>
      </c>
      <c r="P481" s="22">
        <f t="shared" si="21"/>
        <v>2</v>
      </c>
      <c r="Q481" s="22">
        <f t="shared" si="22"/>
        <v>1384</v>
      </c>
      <c r="R481" s="22">
        <f t="shared" si="23"/>
        <v>1385</v>
      </c>
    </row>
    <row r="482" spans="1:18" x14ac:dyDescent="0.2">
      <c r="A482" s="567">
        <v>85</v>
      </c>
      <c r="B482" s="568" t="s">
        <v>321</v>
      </c>
      <c r="C482" s="568" t="s">
        <v>330</v>
      </c>
      <c r="D482" s="567">
        <v>129</v>
      </c>
      <c r="E482" s="567">
        <v>14</v>
      </c>
      <c r="F482" s="567">
        <v>21</v>
      </c>
      <c r="G482" s="567">
        <v>128</v>
      </c>
      <c r="H482" s="567">
        <v>1121</v>
      </c>
      <c r="O482" s="568" t="s">
        <v>3190</v>
      </c>
      <c r="P482" s="22">
        <f t="shared" si="21"/>
        <v>2</v>
      </c>
      <c r="Q482" s="22">
        <f t="shared" si="22"/>
        <v>1386</v>
      </c>
      <c r="R482" s="22">
        <f t="shared" si="23"/>
        <v>1387</v>
      </c>
    </row>
    <row r="483" spans="1:18" x14ac:dyDescent="0.2">
      <c r="A483" s="567">
        <v>87</v>
      </c>
      <c r="B483" s="568" t="s">
        <v>321</v>
      </c>
      <c r="C483" s="568" t="s">
        <v>331</v>
      </c>
      <c r="D483" s="567">
        <v>131</v>
      </c>
      <c r="E483" s="567">
        <v>14</v>
      </c>
      <c r="F483" s="567">
        <v>21</v>
      </c>
      <c r="G483" s="567">
        <v>128</v>
      </c>
      <c r="H483" s="567">
        <v>1121</v>
      </c>
      <c r="O483" s="568" t="s">
        <v>3196</v>
      </c>
      <c r="P483" s="22">
        <f t="shared" si="21"/>
        <v>3</v>
      </c>
      <c r="Q483" s="22">
        <f t="shared" si="22"/>
        <v>1388</v>
      </c>
      <c r="R483" s="22">
        <f t="shared" si="23"/>
        <v>1390</v>
      </c>
    </row>
    <row r="484" spans="1:18" x14ac:dyDescent="0.2">
      <c r="A484" s="567">
        <v>86</v>
      </c>
      <c r="B484" s="568" t="s">
        <v>321</v>
      </c>
      <c r="C484" s="568" t="s">
        <v>342</v>
      </c>
      <c r="D484" s="567">
        <v>130</v>
      </c>
      <c r="E484" s="567">
        <v>14</v>
      </c>
      <c r="F484" s="567">
        <v>21</v>
      </c>
      <c r="G484" s="567">
        <v>128</v>
      </c>
      <c r="H484" s="567">
        <v>1121</v>
      </c>
      <c r="O484" s="568" t="s">
        <v>1130</v>
      </c>
      <c r="P484" s="22">
        <f t="shared" si="21"/>
        <v>2</v>
      </c>
      <c r="Q484" s="22">
        <f t="shared" si="22"/>
        <v>1391</v>
      </c>
      <c r="R484" s="22">
        <f t="shared" si="23"/>
        <v>1392</v>
      </c>
    </row>
    <row r="485" spans="1:18" x14ac:dyDescent="0.2">
      <c r="A485" s="567">
        <v>76</v>
      </c>
      <c r="B485" s="568" t="s">
        <v>321</v>
      </c>
      <c r="C485" s="568" t="s">
        <v>321</v>
      </c>
      <c r="D485" s="567">
        <v>120</v>
      </c>
      <c r="E485" s="567">
        <v>14</v>
      </c>
      <c r="F485" s="567">
        <v>21</v>
      </c>
      <c r="G485" s="567">
        <v>128</v>
      </c>
      <c r="H485" s="567">
        <v>1121</v>
      </c>
      <c r="O485" s="568" t="s">
        <v>3063</v>
      </c>
      <c r="P485" s="22">
        <f t="shared" si="21"/>
        <v>3</v>
      </c>
      <c r="Q485" s="22">
        <f t="shared" si="22"/>
        <v>1393</v>
      </c>
      <c r="R485" s="22">
        <f t="shared" si="23"/>
        <v>1395</v>
      </c>
    </row>
    <row r="486" spans="1:18" x14ac:dyDescent="0.2">
      <c r="A486" s="567">
        <v>461</v>
      </c>
      <c r="B486" s="568" t="s">
        <v>515</v>
      </c>
      <c r="C486" s="568" t="s">
        <v>514</v>
      </c>
      <c r="D486" s="567">
        <v>882</v>
      </c>
      <c r="E486" s="567">
        <v>13</v>
      </c>
      <c r="F486" s="567">
        <v>1</v>
      </c>
      <c r="G486" s="567">
        <v>125</v>
      </c>
      <c r="H486" s="567">
        <v>1150</v>
      </c>
      <c r="O486" s="568" t="s">
        <v>592</v>
      </c>
      <c r="P486" s="22">
        <f t="shared" si="21"/>
        <v>3</v>
      </c>
      <c r="Q486" s="22">
        <f t="shared" si="22"/>
        <v>1396</v>
      </c>
      <c r="R486" s="22">
        <f t="shared" si="23"/>
        <v>1398</v>
      </c>
    </row>
    <row r="487" spans="1:18" x14ac:dyDescent="0.2">
      <c r="A487" s="567">
        <v>460</v>
      </c>
      <c r="B487" s="568" t="s">
        <v>515</v>
      </c>
      <c r="C487" s="568" t="s">
        <v>518</v>
      </c>
      <c r="D487" s="567">
        <v>881</v>
      </c>
      <c r="E487" s="567">
        <v>13</v>
      </c>
      <c r="F487" s="567">
        <v>1</v>
      </c>
      <c r="G487" s="567">
        <v>125</v>
      </c>
      <c r="H487" s="567">
        <v>1150</v>
      </c>
      <c r="O487" s="568" t="s">
        <v>1026</v>
      </c>
      <c r="P487" s="22">
        <f t="shared" si="21"/>
        <v>5</v>
      </c>
      <c r="Q487" s="22">
        <f t="shared" si="22"/>
        <v>1399</v>
      </c>
      <c r="R487" s="22">
        <f t="shared" si="23"/>
        <v>1403</v>
      </c>
    </row>
    <row r="488" spans="1:18" x14ac:dyDescent="0.2">
      <c r="A488" s="567">
        <v>459</v>
      </c>
      <c r="B488" s="568" t="s">
        <v>515</v>
      </c>
      <c r="C488" s="568" t="s">
        <v>530</v>
      </c>
      <c r="D488" s="567">
        <v>880</v>
      </c>
      <c r="E488" s="567">
        <v>13</v>
      </c>
      <c r="F488" s="567">
        <v>1</v>
      </c>
      <c r="G488" s="567">
        <v>125</v>
      </c>
      <c r="H488" s="567">
        <v>1150</v>
      </c>
      <c r="O488" s="568" t="s">
        <v>1370</v>
      </c>
      <c r="P488" s="22">
        <f t="shared" si="21"/>
        <v>1</v>
      </c>
      <c r="Q488" s="22">
        <f t="shared" si="22"/>
        <v>1404</v>
      </c>
      <c r="R488" s="22">
        <f t="shared" si="23"/>
        <v>1404</v>
      </c>
    </row>
    <row r="489" spans="1:18" x14ac:dyDescent="0.2">
      <c r="A489" s="567">
        <v>458</v>
      </c>
      <c r="B489" s="568" t="s">
        <v>515</v>
      </c>
      <c r="C489" s="568" t="s">
        <v>430</v>
      </c>
      <c r="D489" s="567">
        <v>879</v>
      </c>
      <c r="E489" s="567">
        <v>13</v>
      </c>
      <c r="F489" s="567">
        <v>1</v>
      </c>
      <c r="G489" s="567">
        <v>125</v>
      </c>
      <c r="H489" s="567">
        <v>1150</v>
      </c>
      <c r="O489" s="568" t="s">
        <v>2416</v>
      </c>
      <c r="P489" s="22">
        <f t="shared" si="21"/>
        <v>6</v>
      </c>
      <c r="Q489" s="22">
        <f t="shared" si="22"/>
        <v>1405</v>
      </c>
      <c r="R489" s="22">
        <f t="shared" si="23"/>
        <v>1410</v>
      </c>
    </row>
    <row r="490" spans="1:18" x14ac:dyDescent="0.2">
      <c r="A490" s="567">
        <v>454</v>
      </c>
      <c r="B490" s="568" t="s">
        <v>515</v>
      </c>
      <c r="C490" s="568" t="s">
        <v>515</v>
      </c>
      <c r="D490" s="567">
        <v>875</v>
      </c>
      <c r="E490" s="567">
        <v>13</v>
      </c>
      <c r="F490" s="567">
        <v>1</v>
      </c>
      <c r="G490" s="567">
        <v>125</v>
      </c>
      <c r="H490" s="567">
        <v>1150</v>
      </c>
      <c r="O490" s="568" t="s">
        <v>3148</v>
      </c>
      <c r="P490" s="22">
        <f t="shared" si="21"/>
        <v>2</v>
      </c>
      <c r="Q490" s="22">
        <f t="shared" si="22"/>
        <v>1411</v>
      </c>
      <c r="R490" s="22">
        <f t="shared" si="23"/>
        <v>1412</v>
      </c>
    </row>
    <row r="491" spans="1:18" x14ac:dyDescent="0.2">
      <c r="A491" s="567">
        <v>455</v>
      </c>
      <c r="B491" s="568" t="s">
        <v>515</v>
      </c>
      <c r="C491" s="568" t="s">
        <v>614</v>
      </c>
      <c r="D491" s="567">
        <v>876</v>
      </c>
      <c r="E491" s="567">
        <v>13</v>
      </c>
      <c r="F491" s="567">
        <v>1</v>
      </c>
      <c r="G491" s="567">
        <v>125</v>
      </c>
      <c r="H491" s="567">
        <v>1150</v>
      </c>
      <c r="O491" s="568" t="s">
        <v>932</v>
      </c>
      <c r="P491" s="22">
        <f t="shared" si="21"/>
        <v>7</v>
      </c>
      <c r="Q491" s="22">
        <f t="shared" si="22"/>
        <v>1413</v>
      </c>
      <c r="R491" s="22">
        <f t="shared" si="23"/>
        <v>1419</v>
      </c>
    </row>
    <row r="492" spans="1:18" x14ac:dyDescent="0.2">
      <c r="A492" s="567">
        <v>456</v>
      </c>
      <c r="B492" s="568" t="s">
        <v>515</v>
      </c>
      <c r="C492" s="568" t="s">
        <v>615</v>
      </c>
      <c r="D492" s="567">
        <v>877</v>
      </c>
      <c r="E492" s="567">
        <v>13</v>
      </c>
      <c r="F492" s="567">
        <v>1</v>
      </c>
      <c r="G492" s="567">
        <v>125</v>
      </c>
      <c r="H492" s="567">
        <v>1150</v>
      </c>
      <c r="O492" s="568" t="s">
        <v>799</v>
      </c>
      <c r="P492" s="22">
        <f t="shared" si="21"/>
        <v>2</v>
      </c>
      <c r="Q492" s="22">
        <f t="shared" si="22"/>
        <v>1420</v>
      </c>
      <c r="R492" s="22">
        <f t="shared" si="23"/>
        <v>1421</v>
      </c>
    </row>
    <row r="493" spans="1:18" x14ac:dyDescent="0.2">
      <c r="A493" s="567">
        <v>457</v>
      </c>
      <c r="B493" s="568" t="s">
        <v>515</v>
      </c>
      <c r="C493" s="568" t="s">
        <v>616</v>
      </c>
      <c r="D493" s="567">
        <v>878</v>
      </c>
      <c r="E493" s="567">
        <v>13</v>
      </c>
      <c r="F493" s="567">
        <v>1</v>
      </c>
      <c r="G493" s="567">
        <v>125</v>
      </c>
      <c r="H493" s="567">
        <v>1150</v>
      </c>
      <c r="O493" s="568" t="s">
        <v>2753</v>
      </c>
      <c r="P493" s="22">
        <f t="shared" si="21"/>
        <v>5</v>
      </c>
      <c r="Q493" s="22">
        <f t="shared" si="22"/>
        <v>1422</v>
      </c>
      <c r="R493" s="22">
        <f t="shared" si="23"/>
        <v>1426</v>
      </c>
    </row>
    <row r="494" spans="1:18" x14ac:dyDescent="0.2">
      <c r="A494" s="567">
        <v>2153</v>
      </c>
      <c r="B494" s="568" t="s">
        <v>1770</v>
      </c>
      <c r="C494" s="568" t="s">
        <v>1770</v>
      </c>
      <c r="D494" s="567">
        <v>6170</v>
      </c>
      <c r="E494" s="567">
        <v>6</v>
      </c>
      <c r="F494" s="567">
        <v>8</v>
      </c>
      <c r="G494" s="567">
        <v>326</v>
      </c>
      <c r="H494" s="567">
        <v>3100</v>
      </c>
      <c r="O494" s="568" t="s">
        <v>3109</v>
      </c>
      <c r="P494" s="22">
        <f t="shared" si="21"/>
        <v>3</v>
      </c>
      <c r="Q494" s="22">
        <f t="shared" si="22"/>
        <v>1427</v>
      </c>
      <c r="R494" s="22">
        <f t="shared" si="23"/>
        <v>1429</v>
      </c>
    </row>
    <row r="495" spans="1:18" x14ac:dyDescent="0.2">
      <c r="A495" s="567">
        <v>2157</v>
      </c>
      <c r="B495" s="568" t="s">
        <v>1770</v>
      </c>
      <c r="C495" s="568" t="s">
        <v>118</v>
      </c>
      <c r="D495" s="567">
        <v>6174</v>
      </c>
      <c r="E495" s="567">
        <v>6</v>
      </c>
      <c r="F495" s="567">
        <v>8</v>
      </c>
      <c r="G495" s="567">
        <v>326</v>
      </c>
      <c r="H495" s="567">
        <v>3100</v>
      </c>
      <c r="O495" s="568" t="s">
        <v>2037</v>
      </c>
      <c r="P495" s="22">
        <f t="shared" si="21"/>
        <v>1</v>
      </c>
      <c r="Q495" s="22">
        <f t="shared" si="22"/>
        <v>1430</v>
      </c>
      <c r="R495" s="22">
        <f t="shared" si="23"/>
        <v>1430</v>
      </c>
    </row>
    <row r="496" spans="1:18" x14ac:dyDescent="0.2">
      <c r="A496" s="567">
        <v>2154</v>
      </c>
      <c r="B496" s="568" t="s">
        <v>1770</v>
      </c>
      <c r="C496" s="568" t="s">
        <v>1779</v>
      </c>
      <c r="D496" s="567">
        <v>6171</v>
      </c>
      <c r="E496" s="567">
        <v>6</v>
      </c>
      <c r="F496" s="567">
        <v>8</v>
      </c>
      <c r="G496" s="567">
        <v>326</v>
      </c>
      <c r="H496" s="567">
        <v>3100</v>
      </c>
      <c r="O496" s="568" t="s">
        <v>2451</v>
      </c>
      <c r="P496" s="22">
        <f t="shared" si="21"/>
        <v>1</v>
      </c>
      <c r="Q496" s="22">
        <f t="shared" si="22"/>
        <v>1431</v>
      </c>
      <c r="R496" s="22">
        <f t="shared" si="23"/>
        <v>1431</v>
      </c>
    </row>
    <row r="497" spans="1:18" x14ac:dyDescent="0.2">
      <c r="A497" s="567">
        <v>2155</v>
      </c>
      <c r="B497" s="568" t="s">
        <v>1770</v>
      </c>
      <c r="C497" s="568" t="s">
        <v>1780</v>
      </c>
      <c r="D497" s="567">
        <v>6172</v>
      </c>
      <c r="E497" s="567">
        <v>6</v>
      </c>
      <c r="F497" s="567">
        <v>8</v>
      </c>
      <c r="G497" s="567">
        <v>326</v>
      </c>
      <c r="H497" s="567">
        <v>3100</v>
      </c>
      <c r="O497" s="568" t="s">
        <v>2814</v>
      </c>
      <c r="P497" s="22">
        <f t="shared" si="21"/>
        <v>5</v>
      </c>
      <c r="Q497" s="22">
        <f t="shared" si="22"/>
        <v>1432</v>
      </c>
      <c r="R497" s="22">
        <f t="shared" si="23"/>
        <v>1436</v>
      </c>
    </row>
    <row r="498" spans="1:18" x14ac:dyDescent="0.2">
      <c r="A498" s="567">
        <v>2156</v>
      </c>
      <c r="B498" s="568" t="s">
        <v>1770</v>
      </c>
      <c r="C498" s="568" t="s">
        <v>1781</v>
      </c>
      <c r="D498" s="567">
        <v>6173</v>
      </c>
      <c r="E498" s="567">
        <v>6</v>
      </c>
      <c r="F498" s="567">
        <v>8</v>
      </c>
      <c r="G498" s="567">
        <v>326</v>
      </c>
      <c r="H498" s="567">
        <v>3100</v>
      </c>
      <c r="O498" s="568" t="s">
        <v>1581</v>
      </c>
      <c r="P498" s="22">
        <f t="shared" si="21"/>
        <v>1</v>
      </c>
      <c r="Q498" s="22">
        <f t="shared" si="22"/>
        <v>1437</v>
      </c>
      <c r="R498" s="22">
        <f t="shared" si="23"/>
        <v>1437</v>
      </c>
    </row>
    <row r="499" spans="1:18" x14ac:dyDescent="0.2">
      <c r="A499" s="567">
        <v>275</v>
      </c>
      <c r="B499" s="568" t="s">
        <v>1019</v>
      </c>
      <c r="C499" s="568" t="s">
        <v>1018</v>
      </c>
      <c r="D499" s="567">
        <v>449</v>
      </c>
      <c r="E499" s="567">
        <v>9</v>
      </c>
      <c r="F499" s="567">
        <v>20</v>
      </c>
      <c r="G499" s="567">
        <v>127</v>
      </c>
      <c r="H499" s="567">
        <v>1200</v>
      </c>
      <c r="O499" s="568" t="s">
        <v>563</v>
      </c>
      <c r="P499" s="22">
        <f t="shared" si="21"/>
        <v>1</v>
      </c>
      <c r="Q499" s="22">
        <f t="shared" si="22"/>
        <v>1438</v>
      </c>
      <c r="R499" s="22">
        <f t="shared" si="23"/>
        <v>1438</v>
      </c>
    </row>
    <row r="500" spans="1:18" x14ac:dyDescent="0.2">
      <c r="A500" s="567">
        <v>276</v>
      </c>
      <c r="B500" s="568" t="s">
        <v>1019</v>
      </c>
      <c r="C500" s="568" t="s">
        <v>1020</v>
      </c>
      <c r="D500" s="567">
        <v>450</v>
      </c>
      <c r="E500" s="567">
        <v>9</v>
      </c>
      <c r="F500" s="567">
        <v>20</v>
      </c>
      <c r="G500" s="567">
        <v>127</v>
      </c>
      <c r="H500" s="567">
        <v>1200</v>
      </c>
      <c r="O500" s="568" t="s">
        <v>573</v>
      </c>
      <c r="P500" s="22">
        <f t="shared" si="21"/>
        <v>2</v>
      </c>
      <c r="Q500" s="22">
        <f t="shared" si="22"/>
        <v>1439</v>
      </c>
      <c r="R500" s="22">
        <f t="shared" si="23"/>
        <v>1440</v>
      </c>
    </row>
    <row r="501" spans="1:18" x14ac:dyDescent="0.2">
      <c r="A501" s="567">
        <v>277</v>
      </c>
      <c r="B501" s="568" t="s">
        <v>1019</v>
      </c>
      <c r="C501" s="568" t="s">
        <v>1021</v>
      </c>
      <c r="D501" s="567">
        <v>451</v>
      </c>
      <c r="E501" s="567">
        <v>9</v>
      </c>
      <c r="F501" s="567">
        <v>20</v>
      </c>
      <c r="G501" s="567">
        <v>127</v>
      </c>
      <c r="H501" s="567">
        <v>1200</v>
      </c>
      <c r="O501" s="568" t="s">
        <v>91</v>
      </c>
      <c r="P501" s="22">
        <f t="shared" si="21"/>
        <v>1</v>
      </c>
      <c r="Q501" s="22">
        <f t="shared" si="22"/>
        <v>1441</v>
      </c>
      <c r="R501" s="22">
        <f t="shared" si="23"/>
        <v>1441</v>
      </c>
    </row>
    <row r="502" spans="1:18" x14ac:dyDescent="0.2">
      <c r="A502" s="567">
        <v>273</v>
      </c>
      <c r="B502" s="568" t="s">
        <v>1019</v>
      </c>
      <c r="C502" s="568" t="s">
        <v>1040</v>
      </c>
      <c r="D502" s="567">
        <v>447</v>
      </c>
      <c r="E502" s="567">
        <v>9</v>
      </c>
      <c r="F502" s="567">
        <v>20</v>
      </c>
      <c r="G502" s="567">
        <v>127</v>
      </c>
      <c r="H502" s="567">
        <v>1200</v>
      </c>
      <c r="O502" s="568" t="s">
        <v>2466</v>
      </c>
      <c r="P502" s="22">
        <f t="shared" si="21"/>
        <v>2</v>
      </c>
      <c r="Q502" s="22">
        <f t="shared" si="22"/>
        <v>1442</v>
      </c>
      <c r="R502" s="22">
        <f t="shared" si="23"/>
        <v>1443</v>
      </c>
    </row>
    <row r="503" spans="1:18" x14ac:dyDescent="0.2">
      <c r="A503" s="567">
        <v>272</v>
      </c>
      <c r="B503" s="568" t="s">
        <v>1019</v>
      </c>
      <c r="C503" s="568" t="s">
        <v>1041</v>
      </c>
      <c r="D503" s="567">
        <v>446</v>
      </c>
      <c r="E503" s="567">
        <v>9</v>
      </c>
      <c r="F503" s="567">
        <v>20</v>
      </c>
      <c r="G503" s="567">
        <v>127</v>
      </c>
      <c r="H503" s="567">
        <v>1200</v>
      </c>
      <c r="O503" s="568" t="s">
        <v>683</v>
      </c>
      <c r="P503" s="22">
        <f t="shared" si="21"/>
        <v>2</v>
      </c>
      <c r="Q503" s="22">
        <f t="shared" si="22"/>
        <v>1444</v>
      </c>
      <c r="R503" s="22">
        <f t="shared" si="23"/>
        <v>1445</v>
      </c>
    </row>
    <row r="504" spans="1:18" x14ac:dyDescent="0.2">
      <c r="A504" s="567">
        <v>271</v>
      </c>
      <c r="B504" s="568" t="s">
        <v>1019</v>
      </c>
      <c r="C504" s="568" t="s">
        <v>1019</v>
      </c>
      <c r="D504" s="567">
        <v>445</v>
      </c>
      <c r="E504" s="567">
        <v>9</v>
      </c>
      <c r="F504" s="567">
        <v>20</v>
      </c>
      <c r="G504" s="567">
        <v>127</v>
      </c>
      <c r="H504" s="567">
        <v>1200</v>
      </c>
      <c r="O504" s="568" t="s">
        <v>2661</v>
      </c>
      <c r="P504" s="22">
        <f t="shared" si="21"/>
        <v>1</v>
      </c>
      <c r="Q504" s="22">
        <f t="shared" si="22"/>
        <v>1446</v>
      </c>
      <c r="R504" s="22">
        <f t="shared" si="23"/>
        <v>1446</v>
      </c>
    </row>
    <row r="505" spans="1:18" x14ac:dyDescent="0.2">
      <c r="A505" s="567">
        <v>274</v>
      </c>
      <c r="B505" s="568" t="s">
        <v>1019</v>
      </c>
      <c r="C505" s="568" t="s">
        <v>84</v>
      </c>
      <c r="D505" s="567">
        <v>448</v>
      </c>
      <c r="E505" s="567">
        <v>9</v>
      </c>
      <c r="F505" s="567">
        <v>20</v>
      </c>
      <c r="G505" s="567">
        <v>127</v>
      </c>
      <c r="H505" s="567">
        <v>1200</v>
      </c>
      <c r="O505" s="568" t="s">
        <v>254</v>
      </c>
      <c r="P505" s="22">
        <f t="shared" si="21"/>
        <v>1</v>
      </c>
      <c r="Q505" s="22">
        <f t="shared" si="22"/>
        <v>1447</v>
      </c>
      <c r="R505" s="22">
        <f t="shared" si="23"/>
        <v>1447</v>
      </c>
    </row>
    <row r="506" spans="1:18" x14ac:dyDescent="0.2">
      <c r="A506" s="567">
        <v>1894</v>
      </c>
      <c r="B506" s="568" t="s">
        <v>1933</v>
      </c>
      <c r="C506" s="568" t="s">
        <v>1932</v>
      </c>
      <c r="D506" s="567">
        <v>5320</v>
      </c>
      <c r="E506" s="567">
        <v>15</v>
      </c>
      <c r="F506" s="567">
        <v>3</v>
      </c>
      <c r="G506" s="567">
        <v>315</v>
      </c>
      <c r="H506" s="567">
        <v>3120</v>
      </c>
      <c r="O506" s="568" t="s">
        <v>1586</v>
      </c>
      <c r="P506" s="22">
        <f t="shared" si="21"/>
        <v>2</v>
      </c>
      <c r="Q506" s="22">
        <f t="shared" si="22"/>
        <v>1448</v>
      </c>
      <c r="R506" s="22">
        <f t="shared" si="23"/>
        <v>1449</v>
      </c>
    </row>
    <row r="507" spans="1:18" x14ac:dyDescent="0.2">
      <c r="A507" s="567">
        <v>1895</v>
      </c>
      <c r="B507" s="568" t="s">
        <v>1933</v>
      </c>
      <c r="C507" s="568" t="s">
        <v>1934</v>
      </c>
      <c r="D507" s="567">
        <v>5321</v>
      </c>
      <c r="E507" s="567">
        <v>15</v>
      </c>
      <c r="F507" s="567">
        <v>3</v>
      </c>
      <c r="G507" s="567">
        <v>315</v>
      </c>
      <c r="H507" s="567">
        <v>3120</v>
      </c>
      <c r="O507" s="568" t="s">
        <v>2090</v>
      </c>
      <c r="P507" s="22">
        <f t="shared" si="21"/>
        <v>7</v>
      </c>
      <c r="Q507" s="22">
        <f t="shared" si="22"/>
        <v>1450</v>
      </c>
      <c r="R507" s="22">
        <f t="shared" si="23"/>
        <v>1456</v>
      </c>
    </row>
    <row r="508" spans="1:18" x14ac:dyDescent="0.2">
      <c r="A508" s="567">
        <v>1896</v>
      </c>
      <c r="B508" s="568" t="s">
        <v>1933</v>
      </c>
      <c r="C508" s="568" t="s">
        <v>1935</v>
      </c>
      <c r="D508" s="567">
        <v>5322</v>
      </c>
      <c r="E508" s="567">
        <v>15</v>
      </c>
      <c r="F508" s="567">
        <v>3</v>
      </c>
      <c r="G508" s="567">
        <v>315</v>
      </c>
      <c r="H508" s="567">
        <v>3120</v>
      </c>
      <c r="O508" s="568" t="s">
        <v>2761</v>
      </c>
      <c r="P508" s="22">
        <f t="shared" si="21"/>
        <v>1</v>
      </c>
      <c r="Q508" s="22">
        <f t="shared" si="22"/>
        <v>1457</v>
      </c>
      <c r="R508" s="22">
        <f t="shared" si="23"/>
        <v>1457</v>
      </c>
    </row>
    <row r="509" spans="1:18" x14ac:dyDescent="0.2">
      <c r="A509" s="567">
        <v>1897</v>
      </c>
      <c r="B509" s="568" t="s">
        <v>1933</v>
      </c>
      <c r="C509" s="568" t="s">
        <v>1972</v>
      </c>
      <c r="D509" s="567">
        <v>5323</v>
      </c>
      <c r="E509" s="567">
        <v>15</v>
      </c>
      <c r="F509" s="567">
        <v>3</v>
      </c>
      <c r="G509" s="567">
        <v>315</v>
      </c>
      <c r="H509" s="567">
        <v>3120</v>
      </c>
      <c r="O509" s="568" t="s">
        <v>2182</v>
      </c>
      <c r="P509" s="22">
        <f t="shared" si="21"/>
        <v>2</v>
      </c>
      <c r="Q509" s="22">
        <f t="shared" si="22"/>
        <v>1458</v>
      </c>
      <c r="R509" s="22">
        <f t="shared" si="23"/>
        <v>1459</v>
      </c>
    </row>
    <row r="510" spans="1:18" x14ac:dyDescent="0.2">
      <c r="A510" s="567">
        <v>2842</v>
      </c>
      <c r="B510" s="568" t="s">
        <v>3256</v>
      </c>
      <c r="C510" s="568" t="s">
        <v>3256</v>
      </c>
      <c r="D510" s="567">
        <v>8175</v>
      </c>
      <c r="E510" s="567">
        <v>24</v>
      </c>
      <c r="F510" s="567">
        <v>13</v>
      </c>
      <c r="G510" s="567">
        <v>425</v>
      </c>
      <c r="H510" s="567">
        <v>4170</v>
      </c>
      <c r="O510" s="568" t="s">
        <v>2192</v>
      </c>
      <c r="P510" s="22">
        <f t="shared" si="21"/>
        <v>2</v>
      </c>
      <c r="Q510" s="22">
        <f t="shared" si="22"/>
        <v>1460</v>
      </c>
      <c r="R510" s="22">
        <f t="shared" si="23"/>
        <v>1461</v>
      </c>
    </row>
    <row r="511" spans="1:18" x14ac:dyDescent="0.2">
      <c r="A511" s="567">
        <v>1942</v>
      </c>
      <c r="B511" s="568" t="s">
        <v>1909</v>
      </c>
      <c r="C511" s="568" t="s">
        <v>1909</v>
      </c>
      <c r="D511" s="567">
        <v>5480</v>
      </c>
      <c r="E511" s="567">
        <v>16</v>
      </c>
      <c r="F511" s="567">
        <v>6</v>
      </c>
      <c r="G511" s="567">
        <v>315</v>
      </c>
      <c r="H511" s="567">
        <v>3120</v>
      </c>
      <c r="O511" s="568" t="s">
        <v>1317</v>
      </c>
      <c r="P511" s="22">
        <f t="shared" si="21"/>
        <v>5</v>
      </c>
      <c r="Q511" s="22">
        <f t="shared" si="22"/>
        <v>1462</v>
      </c>
      <c r="R511" s="22">
        <f t="shared" si="23"/>
        <v>1466</v>
      </c>
    </row>
    <row r="512" spans="1:18" x14ac:dyDescent="0.2">
      <c r="A512" s="567">
        <v>1296</v>
      </c>
      <c r="B512" s="568" t="s">
        <v>1332</v>
      </c>
      <c r="C512" s="568" t="s">
        <v>1331</v>
      </c>
      <c r="D512" s="567">
        <v>3504</v>
      </c>
      <c r="E512" s="567">
        <v>7</v>
      </c>
      <c r="F512" s="567">
        <v>2</v>
      </c>
      <c r="G512" s="567">
        <v>215</v>
      </c>
      <c r="H512" s="567">
        <v>2121</v>
      </c>
      <c r="O512" s="568" t="s">
        <v>1250</v>
      </c>
      <c r="P512" s="22">
        <f t="shared" si="21"/>
        <v>2</v>
      </c>
      <c r="Q512" s="22">
        <f t="shared" si="22"/>
        <v>1467</v>
      </c>
      <c r="R512" s="22">
        <f t="shared" si="23"/>
        <v>1468</v>
      </c>
    </row>
    <row r="513" spans="1:18" x14ac:dyDescent="0.2">
      <c r="A513" s="567">
        <v>1292</v>
      </c>
      <c r="B513" s="568" t="s">
        <v>1332</v>
      </c>
      <c r="C513" s="568" t="s">
        <v>1332</v>
      </c>
      <c r="D513" s="567">
        <v>3500</v>
      </c>
      <c r="E513" s="567">
        <v>7</v>
      </c>
      <c r="F513" s="567">
        <v>2</v>
      </c>
      <c r="G513" s="567">
        <v>215</v>
      </c>
      <c r="H513" s="567">
        <v>2121</v>
      </c>
      <c r="O513" s="568" t="s">
        <v>1327</v>
      </c>
      <c r="P513" s="22">
        <f t="shared" si="21"/>
        <v>3</v>
      </c>
      <c r="Q513" s="22">
        <f t="shared" si="22"/>
        <v>1469</v>
      </c>
      <c r="R513" s="22">
        <f t="shared" si="23"/>
        <v>1471</v>
      </c>
    </row>
    <row r="514" spans="1:18" x14ac:dyDescent="0.2">
      <c r="A514" s="567">
        <v>1293</v>
      </c>
      <c r="B514" s="568" t="s">
        <v>1332</v>
      </c>
      <c r="C514" s="568" t="s">
        <v>1336</v>
      </c>
      <c r="D514" s="567">
        <v>3501</v>
      </c>
      <c r="E514" s="567">
        <v>7</v>
      </c>
      <c r="F514" s="567">
        <v>2</v>
      </c>
      <c r="G514" s="567">
        <v>215</v>
      </c>
      <c r="H514" s="567">
        <v>2121</v>
      </c>
      <c r="O514" s="568" t="s">
        <v>2248</v>
      </c>
      <c r="P514" s="22">
        <f t="shared" si="21"/>
        <v>11</v>
      </c>
      <c r="Q514" s="22">
        <f t="shared" si="22"/>
        <v>1472</v>
      </c>
      <c r="R514" s="22">
        <f t="shared" si="23"/>
        <v>1482</v>
      </c>
    </row>
    <row r="515" spans="1:18" x14ac:dyDescent="0.2">
      <c r="A515" s="567">
        <v>1295</v>
      </c>
      <c r="B515" s="568" t="s">
        <v>1332</v>
      </c>
      <c r="C515" s="568" t="s">
        <v>1337</v>
      </c>
      <c r="D515" s="567">
        <v>3503</v>
      </c>
      <c r="E515" s="567">
        <v>7</v>
      </c>
      <c r="F515" s="567">
        <v>2</v>
      </c>
      <c r="G515" s="567">
        <v>215</v>
      </c>
      <c r="H515" s="567">
        <v>2121</v>
      </c>
      <c r="O515" s="568" t="s">
        <v>1571</v>
      </c>
      <c r="P515" s="22">
        <f t="shared" si="21"/>
        <v>5</v>
      </c>
      <c r="Q515" s="22">
        <f t="shared" si="22"/>
        <v>1483</v>
      </c>
      <c r="R515" s="22">
        <f t="shared" si="23"/>
        <v>1487</v>
      </c>
    </row>
    <row r="516" spans="1:18" x14ac:dyDescent="0.2">
      <c r="A516" s="567">
        <v>1297</v>
      </c>
      <c r="B516" s="568" t="s">
        <v>1332</v>
      </c>
      <c r="C516" s="568" t="s">
        <v>1338</v>
      </c>
      <c r="D516" s="567">
        <v>3505</v>
      </c>
      <c r="E516" s="567">
        <v>7</v>
      </c>
      <c r="F516" s="567">
        <v>2</v>
      </c>
      <c r="G516" s="567">
        <v>215</v>
      </c>
      <c r="H516" s="567">
        <v>2121</v>
      </c>
      <c r="O516" s="568" t="s">
        <v>1827</v>
      </c>
      <c r="P516" s="22">
        <f t="shared" si="21"/>
        <v>4</v>
      </c>
      <c r="Q516" s="22">
        <f t="shared" si="22"/>
        <v>1488</v>
      </c>
      <c r="R516" s="22">
        <f t="shared" si="23"/>
        <v>1491</v>
      </c>
    </row>
    <row r="517" spans="1:18" x14ac:dyDescent="0.2">
      <c r="A517" s="567">
        <v>1298</v>
      </c>
      <c r="B517" s="568" t="s">
        <v>1332</v>
      </c>
      <c r="C517" s="568" t="s">
        <v>1339</v>
      </c>
      <c r="D517" s="567">
        <v>3506</v>
      </c>
      <c r="E517" s="567">
        <v>7</v>
      </c>
      <c r="F517" s="567">
        <v>2</v>
      </c>
      <c r="G517" s="567">
        <v>215</v>
      </c>
      <c r="H517" s="567">
        <v>2121</v>
      </c>
      <c r="O517" s="568" t="s">
        <v>188</v>
      </c>
      <c r="P517" s="22">
        <f t="shared" si="21"/>
        <v>2</v>
      </c>
      <c r="Q517" s="22">
        <f t="shared" si="22"/>
        <v>1492</v>
      </c>
      <c r="R517" s="22">
        <f t="shared" si="23"/>
        <v>1493</v>
      </c>
    </row>
    <row r="518" spans="1:18" x14ac:dyDescent="0.2">
      <c r="A518" s="567">
        <v>1299</v>
      </c>
      <c r="B518" s="568" t="s">
        <v>1332</v>
      </c>
      <c r="C518" s="568" t="s">
        <v>1341</v>
      </c>
      <c r="D518" s="567">
        <v>3507</v>
      </c>
      <c r="E518" s="567">
        <v>7</v>
      </c>
      <c r="F518" s="567">
        <v>2</v>
      </c>
      <c r="G518" s="567">
        <v>215</v>
      </c>
      <c r="H518" s="567">
        <v>2121</v>
      </c>
      <c r="O518" s="568" t="s">
        <v>1388</v>
      </c>
      <c r="P518" s="22">
        <f t="shared" si="21"/>
        <v>1</v>
      </c>
      <c r="Q518" s="22">
        <f t="shared" si="22"/>
        <v>1494</v>
      </c>
      <c r="R518" s="22">
        <f t="shared" si="23"/>
        <v>1494</v>
      </c>
    </row>
    <row r="519" spans="1:18" x14ac:dyDescent="0.2">
      <c r="A519" s="567">
        <v>1294</v>
      </c>
      <c r="B519" s="568" t="s">
        <v>1332</v>
      </c>
      <c r="C519" s="568" t="s">
        <v>1345</v>
      </c>
      <c r="D519" s="567">
        <v>3502</v>
      </c>
      <c r="E519" s="567">
        <v>7</v>
      </c>
      <c r="F519" s="567">
        <v>2</v>
      </c>
      <c r="G519" s="567">
        <v>215</v>
      </c>
      <c r="H519" s="567">
        <v>2121</v>
      </c>
      <c r="O519" s="568" t="s">
        <v>1590</v>
      </c>
      <c r="P519" s="22">
        <f t="shared" si="21"/>
        <v>1</v>
      </c>
      <c r="Q519" s="22">
        <f t="shared" si="22"/>
        <v>1495</v>
      </c>
      <c r="R519" s="22">
        <f t="shared" si="23"/>
        <v>1495</v>
      </c>
    </row>
    <row r="520" spans="1:18" x14ac:dyDescent="0.2">
      <c r="A520" s="567">
        <v>1300</v>
      </c>
      <c r="B520" s="568" t="s">
        <v>1332</v>
      </c>
      <c r="C520" s="568" t="s">
        <v>853</v>
      </c>
      <c r="D520" s="567">
        <v>3508</v>
      </c>
      <c r="E520" s="567">
        <v>7</v>
      </c>
      <c r="F520" s="567">
        <v>2</v>
      </c>
      <c r="G520" s="567">
        <v>215</v>
      </c>
      <c r="H520" s="567">
        <v>2121</v>
      </c>
      <c r="O520" s="568" t="s">
        <v>2177</v>
      </c>
      <c r="P520" s="22">
        <f t="shared" si="21"/>
        <v>2</v>
      </c>
      <c r="Q520" s="22">
        <f t="shared" si="22"/>
        <v>1496</v>
      </c>
      <c r="R520" s="22">
        <f t="shared" si="23"/>
        <v>1497</v>
      </c>
    </row>
    <row r="521" spans="1:18" x14ac:dyDescent="0.2">
      <c r="A521" s="567">
        <v>1301</v>
      </c>
      <c r="B521" s="568" t="s">
        <v>1332</v>
      </c>
      <c r="C521" s="568" t="s">
        <v>1354</v>
      </c>
      <c r="D521" s="567">
        <v>3509</v>
      </c>
      <c r="E521" s="567">
        <v>7</v>
      </c>
      <c r="F521" s="567">
        <v>2</v>
      </c>
      <c r="G521" s="567">
        <v>215</v>
      </c>
      <c r="H521" s="567">
        <v>2121</v>
      </c>
      <c r="O521" s="568" t="s">
        <v>555</v>
      </c>
      <c r="P521" s="22">
        <f t="shared" si="21"/>
        <v>3</v>
      </c>
      <c r="Q521" s="22">
        <f t="shared" si="22"/>
        <v>1498</v>
      </c>
      <c r="R521" s="22">
        <f t="shared" si="23"/>
        <v>1500</v>
      </c>
    </row>
    <row r="522" spans="1:18" x14ac:dyDescent="0.2">
      <c r="A522" s="567">
        <v>234</v>
      </c>
      <c r="B522" s="568" t="s">
        <v>948</v>
      </c>
      <c r="C522" s="568" t="s">
        <v>947</v>
      </c>
      <c r="D522" s="567">
        <v>375</v>
      </c>
      <c r="E522" s="567">
        <v>11</v>
      </c>
      <c r="F522" s="567">
        <v>2</v>
      </c>
      <c r="G522" s="567">
        <v>126</v>
      </c>
      <c r="H522" s="567">
        <v>1190</v>
      </c>
      <c r="O522" s="568" t="s">
        <v>2746</v>
      </c>
      <c r="P522" s="22">
        <f t="shared" si="21"/>
        <v>1</v>
      </c>
      <c r="Q522" s="22">
        <f t="shared" si="22"/>
        <v>1501</v>
      </c>
      <c r="R522" s="22">
        <f t="shared" si="23"/>
        <v>1501</v>
      </c>
    </row>
    <row r="523" spans="1:18" x14ac:dyDescent="0.2">
      <c r="A523" s="567">
        <v>232</v>
      </c>
      <c r="B523" s="568" t="s">
        <v>948</v>
      </c>
      <c r="C523" s="568" t="s">
        <v>968</v>
      </c>
      <c r="D523" s="567">
        <v>373</v>
      </c>
      <c r="E523" s="567">
        <v>11</v>
      </c>
      <c r="F523" s="567">
        <v>2</v>
      </c>
      <c r="G523" s="567">
        <v>126</v>
      </c>
      <c r="H523" s="567">
        <v>1190</v>
      </c>
      <c r="O523" s="568" t="s">
        <v>987</v>
      </c>
      <c r="P523" s="22">
        <f t="shared" si="21"/>
        <v>4</v>
      </c>
      <c r="Q523" s="22">
        <f t="shared" si="22"/>
        <v>1502</v>
      </c>
      <c r="R523" s="22">
        <f t="shared" si="23"/>
        <v>1505</v>
      </c>
    </row>
    <row r="524" spans="1:18" x14ac:dyDescent="0.2">
      <c r="A524" s="567">
        <v>239</v>
      </c>
      <c r="B524" s="568" t="s">
        <v>948</v>
      </c>
      <c r="C524" s="568" t="s">
        <v>972</v>
      </c>
      <c r="D524" s="567">
        <v>380</v>
      </c>
      <c r="E524" s="567">
        <v>11</v>
      </c>
      <c r="F524" s="567">
        <v>2</v>
      </c>
      <c r="G524" s="567">
        <v>126</v>
      </c>
      <c r="H524" s="567">
        <v>1190</v>
      </c>
      <c r="O524" s="568" t="s">
        <v>224</v>
      </c>
      <c r="P524" s="22">
        <f t="shared" si="21"/>
        <v>1</v>
      </c>
      <c r="Q524" s="22">
        <f t="shared" si="22"/>
        <v>1506</v>
      </c>
      <c r="R524" s="22">
        <f t="shared" si="23"/>
        <v>1506</v>
      </c>
    </row>
    <row r="525" spans="1:18" x14ac:dyDescent="0.2">
      <c r="A525" s="567">
        <v>238</v>
      </c>
      <c r="B525" s="568" t="s">
        <v>948</v>
      </c>
      <c r="C525" s="568" t="s">
        <v>973</v>
      </c>
      <c r="D525" s="567">
        <v>379</v>
      </c>
      <c r="E525" s="567">
        <v>11</v>
      </c>
      <c r="F525" s="567">
        <v>2</v>
      </c>
      <c r="G525" s="567">
        <v>126</v>
      </c>
      <c r="H525" s="567">
        <v>1190</v>
      </c>
      <c r="O525" s="568" t="s">
        <v>2751</v>
      </c>
      <c r="P525" s="22">
        <f t="shared" si="21"/>
        <v>2</v>
      </c>
      <c r="Q525" s="22">
        <f t="shared" si="22"/>
        <v>1507</v>
      </c>
      <c r="R525" s="22">
        <f t="shared" si="23"/>
        <v>1508</v>
      </c>
    </row>
    <row r="526" spans="1:18" x14ac:dyDescent="0.2">
      <c r="A526" s="567">
        <v>237</v>
      </c>
      <c r="B526" s="568" t="s">
        <v>948</v>
      </c>
      <c r="C526" s="568" t="s">
        <v>974</v>
      </c>
      <c r="D526" s="567">
        <v>378</v>
      </c>
      <c r="E526" s="567">
        <v>11</v>
      </c>
      <c r="F526" s="567">
        <v>2</v>
      </c>
      <c r="G526" s="567">
        <v>126</v>
      </c>
      <c r="H526" s="567">
        <v>1190</v>
      </c>
      <c r="O526" s="568" t="s">
        <v>2978</v>
      </c>
      <c r="P526" s="22">
        <f t="shared" si="21"/>
        <v>1</v>
      </c>
      <c r="Q526" s="22">
        <f t="shared" si="22"/>
        <v>1509</v>
      </c>
      <c r="R526" s="22">
        <f t="shared" si="23"/>
        <v>1509</v>
      </c>
    </row>
    <row r="527" spans="1:18" x14ac:dyDescent="0.2">
      <c r="A527" s="567">
        <v>236</v>
      </c>
      <c r="B527" s="568" t="s">
        <v>948</v>
      </c>
      <c r="C527" s="568" t="s">
        <v>975</v>
      </c>
      <c r="D527" s="567">
        <v>377</v>
      </c>
      <c r="E527" s="567">
        <v>11</v>
      </c>
      <c r="F527" s="567">
        <v>2</v>
      </c>
      <c r="G527" s="567">
        <v>126</v>
      </c>
      <c r="H527" s="567">
        <v>1190</v>
      </c>
      <c r="O527" s="568" t="s">
        <v>768</v>
      </c>
      <c r="P527" s="22">
        <f t="shared" ref="P527:P590" si="24">COUNTIF($B$13:$B$3400,O527)</f>
        <v>1</v>
      </c>
      <c r="Q527" s="22">
        <f t="shared" si="22"/>
        <v>1510</v>
      </c>
      <c r="R527" s="22">
        <f t="shared" si="23"/>
        <v>1510</v>
      </c>
    </row>
    <row r="528" spans="1:18" x14ac:dyDescent="0.2">
      <c r="A528" s="567">
        <v>235</v>
      </c>
      <c r="B528" s="568" t="s">
        <v>948</v>
      </c>
      <c r="C528" s="568" t="s">
        <v>976</v>
      </c>
      <c r="D528" s="567">
        <v>376</v>
      </c>
      <c r="E528" s="567">
        <v>11</v>
      </c>
      <c r="F528" s="567">
        <v>2</v>
      </c>
      <c r="G528" s="567">
        <v>126</v>
      </c>
      <c r="H528" s="567">
        <v>1190</v>
      </c>
      <c r="O528" s="568" t="s">
        <v>139</v>
      </c>
      <c r="P528" s="22">
        <f t="shared" si="24"/>
        <v>3</v>
      </c>
      <c r="Q528" s="22">
        <f t="shared" si="22"/>
        <v>1511</v>
      </c>
      <c r="R528" s="22">
        <f t="shared" si="23"/>
        <v>1513</v>
      </c>
    </row>
    <row r="529" spans="1:18" x14ac:dyDescent="0.2">
      <c r="A529" s="567">
        <v>233</v>
      </c>
      <c r="B529" s="568" t="s">
        <v>948</v>
      </c>
      <c r="C529" s="568" t="s">
        <v>977</v>
      </c>
      <c r="D529" s="567">
        <v>374</v>
      </c>
      <c r="E529" s="567">
        <v>11</v>
      </c>
      <c r="F529" s="567">
        <v>2</v>
      </c>
      <c r="G529" s="567">
        <v>126</v>
      </c>
      <c r="H529" s="567">
        <v>1190</v>
      </c>
      <c r="O529" s="568" t="s">
        <v>817</v>
      </c>
      <c r="P529" s="22">
        <f t="shared" si="24"/>
        <v>4</v>
      </c>
      <c r="Q529" s="22">
        <f t="shared" ref="Q529:Q592" si="25">R528+1</f>
        <v>1514</v>
      </c>
      <c r="R529" s="22">
        <f t="shared" ref="R529:R592" si="26">R528+P529</f>
        <v>1517</v>
      </c>
    </row>
    <row r="530" spans="1:18" x14ac:dyDescent="0.2">
      <c r="A530" s="567">
        <v>230</v>
      </c>
      <c r="B530" s="568" t="s">
        <v>948</v>
      </c>
      <c r="C530" s="568" t="s">
        <v>978</v>
      </c>
      <c r="D530" s="567">
        <v>371</v>
      </c>
      <c r="E530" s="567">
        <v>11</v>
      </c>
      <c r="F530" s="567">
        <v>2</v>
      </c>
      <c r="G530" s="567">
        <v>126</v>
      </c>
      <c r="H530" s="567">
        <v>1190</v>
      </c>
      <c r="O530" s="568" t="s">
        <v>1884</v>
      </c>
      <c r="P530" s="22">
        <f t="shared" si="24"/>
        <v>3</v>
      </c>
      <c r="Q530" s="22">
        <f t="shared" si="25"/>
        <v>1518</v>
      </c>
      <c r="R530" s="22">
        <f t="shared" si="26"/>
        <v>1520</v>
      </c>
    </row>
    <row r="531" spans="1:18" x14ac:dyDescent="0.2">
      <c r="A531" s="567">
        <v>229</v>
      </c>
      <c r="B531" s="568" t="s">
        <v>948</v>
      </c>
      <c r="C531" s="568" t="s">
        <v>948</v>
      </c>
      <c r="D531" s="567">
        <v>370</v>
      </c>
      <c r="E531" s="567">
        <v>11</v>
      </c>
      <c r="F531" s="567">
        <v>2</v>
      </c>
      <c r="G531" s="567">
        <v>126</v>
      </c>
      <c r="H531" s="567">
        <v>1190</v>
      </c>
      <c r="O531" s="568" t="s">
        <v>2812</v>
      </c>
      <c r="P531" s="22">
        <f t="shared" si="24"/>
        <v>3</v>
      </c>
      <c r="Q531" s="22">
        <f t="shared" si="25"/>
        <v>1521</v>
      </c>
      <c r="R531" s="22">
        <f t="shared" si="26"/>
        <v>1523</v>
      </c>
    </row>
    <row r="532" spans="1:18" x14ac:dyDescent="0.2">
      <c r="A532" s="567">
        <v>231</v>
      </c>
      <c r="B532" s="568" t="s">
        <v>948</v>
      </c>
      <c r="C532" s="568" t="s">
        <v>985</v>
      </c>
      <c r="D532" s="567">
        <v>372</v>
      </c>
      <c r="E532" s="567">
        <v>11</v>
      </c>
      <c r="F532" s="567">
        <v>2</v>
      </c>
      <c r="G532" s="567">
        <v>126</v>
      </c>
      <c r="H532" s="567">
        <v>1190</v>
      </c>
      <c r="O532" s="568" t="s">
        <v>2492</v>
      </c>
      <c r="P532" s="22">
        <f t="shared" si="24"/>
        <v>7</v>
      </c>
      <c r="Q532" s="22">
        <f t="shared" si="25"/>
        <v>1524</v>
      </c>
      <c r="R532" s="22">
        <f t="shared" si="26"/>
        <v>1530</v>
      </c>
    </row>
    <row r="533" spans="1:18" x14ac:dyDescent="0.2">
      <c r="A533" s="567">
        <v>2126</v>
      </c>
      <c r="B533" s="568" t="s">
        <v>1788</v>
      </c>
      <c r="C533" s="568" t="s">
        <v>1787</v>
      </c>
      <c r="D533" s="567">
        <v>6091</v>
      </c>
      <c r="E533" s="567">
        <v>75</v>
      </c>
      <c r="F533" s="567">
        <v>8</v>
      </c>
      <c r="G533" s="567">
        <v>326</v>
      </c>
      <c r="H533" s="567">
        <v>3100</v>
      </c>
      <c r="O533" s="568" t="s">
        <v>1629</v>
      </c>
      <c r="P533" s="22">
        <f t="shared" si="24"/>
        <v>3</v>
      </c>
      <c r="Q533" s="22">
        <f t="shared" si="25"/>
        <v>1531</v>
      </c>
      <c r="R533" s="22">
        <f t="shared" si="26"/>
        <v>1533</v>
      </c>
    </row>
    <row r="534" spans="1:18" x14ac:dyDescent="0.2">
      <c r="A534" s="567">
        <v>2125</v>
      </c>
      <c r="B534" s="568" t="s">
        <v>1788</v>
      </c>
      <c r="C534" s="568" t="s">
        <v>1791</v>
      </c>
      <c r="D534" s="567">
        <v>6090</v>
      </c>
      <c r="E534" s="567">
        <v>75</v>
      </c>
      <c r="F534" s="567">
        <v>8</v>
      </c>
      <c r="G534" s="567">
        <v>326</v>
      </c>
      <c r="H534" s="567">
        <v>3100</v>
      </c>
      <c r="O534" s="568" t="s">
        <v>837</v>
      </c>
      <c r="P534" s="22">
        <f t="shared" si="24"/>
        <v>1</v>
      </c>
      <c r="Q534" s="22">
        <f t="shared" si="25"/>
        <v>1534</v>
      </c>
      <c r="R534" s="22">
        <f t="shared" si="26"/>
        <v>1534</v>
      </c>
    </row>
    <row r="535" spans="1:18" x14ac:dyDescent="0.2">
      <c r="A535" s="567">
        <v>2127</v>
      </c>
      <c r="B535" s="568" t="s">
        <v>1788</v>
      </c>
      <c r="C535" s="568" t="s">
        <v>1792</v>
      </c>
      <c r="D535" s="567">
        <v>6092</v>
      </c>
      <c r="E535" s="567">
        <v>75</v>
      </c>
      <c r="F535" s="567">
        <v>8</v>
      </c>
      <c r="G535" s="567">
        <v>326</v>
      </c>
      <c r="H535" s="567">
        <v>3100</v>
      </c>
      <c r="O535" s="568" t="s">
        <v>2453</v>
      </c>
      <c r="P535" s="22">
        <f t="shared" si="24"/>
        <v>1</v>
      </c>
      <c r="Q535" s="22">
        <f t="shared" si="25"/>
        <v>1535</v>
      </c>
      <c r="R535" s="22">
        <f t="shared" si="26"/>
        <v>1535</v>
      </c>
    </row>
    <row r="536" spans="1:18" x14ac:dyDescent="0.2">
      <c r="A536" s="567">
        <v>1272</v>
      </c>
      <c r="B536" s="568" t="s">
        <v>1248</v>
      </c>
      <c r="C536" s="568" t="s">
        <v>1248</v>
      </c>
      <c r="D536" s="567">
        <v>3450</v>
      </c>
      <c r="E536" s="567">
        <v>9</v>
      </c>
      <c r="F536" s="567">
        <v>2</v>
      </c>
      <c r="G536" s="567">
        <v>215</v>
      </c>
      <c r="H536" s="567">
        <v>2121</v>
      </c>
      <c r="O536" s="568" t="s">
        <v>890</v>
      </c>
      <c r="P536" s="22">
        <f t="shared" si="24"/>
        <v>1</v>
      </c>
      <c r="Q536" s="22">
        <f t="shared" si="25"/>
        <v>1536</v>
      </c>
      <c r="R536" s="22">
        <f t="shared" si="26"/>
        <v>1536</v>
      </c>
    </row>
    <row r="537" spans="1:18" x14ac:dyDescent="0.2">
      <c r="A537" s="567">
        <v>1277</v>
      </c>
      <c r="B537" s="568" t="s">
        <v>1248</v>
      </c>
      <c r="C537" s="568" t="s">
        <v>1256</v>
      </c>
      <c r="D537" s="567">
        <v>3455</v>
      </c>
      <c r="E537" s="567">
        <v>9</v>
      </c>
      <c r="F537" s="567">
        <v>2</v>
      </c>
      <c r="G537" s="567">
        <v>215</v>
      </c>
      <c r="H537" s="567">
        <v>2121</v>
      </c>
      <c r="O537" s="568" t="s">
        <v>289</v>
      </c>
      <c r="P537" s="22">
        <f t="shared" si="24"/>
        <v>4</v>
      </c>
      <c r="Q537" s="22">
        <f t="shared" si="25"/>
        <v>1537</v>
      </c>
      <c r="R537" s="22">
        <f t="shared" si="26"/>
        <v>1540</v>
      </c>
    </row>
    <row r="538" spans="1:18" x14ac:dyDescent="0.2">
      <c r="A538" s="567">
        <v>1273</v>
      </c>
      <c r="B538" s="568" t="s">
        <v>1248</v>
      </c>
      <c r="C538" s="568" t="s">
        <v>1260</v>
      </c>
      <c r="D538" s="567">
        <v>3451</v>
      </c>
      <c r="E538" s="567">
        <v>9</v>
      </c>
      <c r="F538" s="567">
        <v>2</v>
      </c>
      <c r="G538" s="567">
        <v>215</v>
      </c>
      <c r="H538" s="567">
        <v>2121</v>
      </c>
      <c r="O538" s="568" t="s">
        <v>1588</v>
      </c>
      <c r="P538" s="22">
        <f t="shared" si="24"/>
        <v>2</v>
      </c>
      <c r="Q538" s="22">
        <f t="shared" si="25"/>
        <v>1541</v>
      </c>
      <c r="R538" s="22">
        <f t="shared" si="26"/>
        <v>1542</v>
      </c>
    </row>
    <row r="539" spans="1:18" x14ac:dyDescent="0.2">
      <c r="A539" s="567">
        <v>1274</v>
      </c>
      <c r="B539" s="568" t="s">
        <v>1248</v>
      </c>
      <c r="C539" s="568" t="s">
        <v>1261</v>
      </c>
      <c r="D539" s="567">
        <v>3452</v>
      </c>
      <c r="E539" s="567">
        <v>9</v>
      </c>
      <c r="F539" s="567">
        <v>2</v>
      </c>
      <c r="G539" s="567">
        <v>215</v>
      </c>
      <c r="H539" s="567">
        <v>2121</v>
      </c>
      <c r="O539" s="568" t="s">
        <v>478</v>
      </c>
      <c r="P539" s="22">
        <f t="shared" si="24"/>
        <v>4</v>
      </c>
      <c r="Q539" s="22">
        <f t="shared" si="25"/>
        <v>1543</v>
      </c>
      <c r="R539" s="22">
        <f t="shared" si="26"/>
        <v>1546</v>
      </c>
    </row>
    <row r="540" spans="1:18" x14ac:dyDescent="0.2">
      <c r="A540" s="567">
        <v>1276</v>
      </c>
      <c r="B540" s="568" t="s">
        <v>1248</v>
      </c>
      <c r="C540" s="568" t="s">
        <v>1264</v>
      </c>
      <c r="D540" s="567">
        <v>3454</v>
      </c>
      <c r="E540" s="567">
        <v>9</v>
      </c>
      <c r="F540" s="567">
        <v>2</v>
      </c>
      <c r="G540" s="567">
        <v>215</v>
      </c>
      <c r="H540" s="567">
        <v>2121</v>
      </c>
      <c r="O540" s="568" t="s">
        <v>2847</v>
      </c>
      <c r="P540" s="22">
        <f t="shared" si="24"/>
        <v>1</v>
      </c>
      <c r="Q540" s="22">
        <f t="shared" si="25"/>
        <v>1547</v>
      </c>
      <c r="R540" s="22">
        <f t="shared" si="26"/>
        <v>1547</v>
      </c>
    </row>
    <row r="541" spans="1:18" x14ac:dyDescent="0.2">
      <c r="A541" s="567">
        <v>1275</v>
      </c>
      <c r="B541" s="568" t="s">
        <v>1248</v>
      </c>
      <c r="C541" s="568" t="s">
        <v>1276</v>
      </c>
      <c r="D541" s="567">
        <v>3453</v>
      </c>
      <c r="E541" s="567">
        <v>9</v>
      </c>
      <c r="F541" s="567">
        <v>2</v>
      </c>
      <c r="G541" s="567">
        <v>215</v>
      </c>
      <c r="H541" s="567">
        <v>2121</v>
      </c>
      <c r="O541" s="568" t="s">
        <v>1754</v>
      </c>
      <c r="P541" s="22">
        <f t="shared" si="24"/>
        <v>6</v>
      </c>
      <c r="Q541" s="22">
        <f t="shared" si="25"/>
        <v>1548</v>
      </c>
      <c r="R541" s="22">
        <f t="shared" si="26"/>
        <v>1553</v>
      </c>
    </row>
    <row r="542" spans="1:18" x14ac:dyDescent="0.2">
      <c r="A542" s="567">
        <v>1175</v>
      </c>
      <c r="B542" s="568" t="s">
        <v>1389</v>
      </c>
      <c r="C542" s="568" t="s">
        <v>1389</v>
      </c>
      <c r="D542" s="567">
        <v>3090</v>
      </c>
      <c r="E542" s="567">
        <v>9</v>
      </c>
      <c r="F542" s="567">
        <v>3</v>
      </c>
      <c r="G542" s="567">
        <v>226</v>
      </c>
      <c r="H542" s="567">
        <v>2130</v>
      </c>
      <c r="O542" s="568" t="s">
        <v>2452</v>
      </c>
      <c r="P542" s="22">
        <f t="shared" si="24"/>
        <v>1</v>
      </c>
      <c r="Q542" s="22">
        <f t="shared" si="25"/>
        <v>1554</v>
      </c>
      <c r="R542" s="22">
        <f t="shared" si="26"/>
        <v>1554</v>
      </c>
    </row>
    <row r="543" spans="1:18" x14ac:dyDescent="0.2">
      <c r="A543" s="567">
        <v>2177</v>
      </c>
      <c r="B543" s="568" t="s">
        <v>2444</v>
      </c>
      <c r="C543" s="568" t="s">
        <v>2444</v>
      </c>
      <c r="D543" s="567">
        <v>6230</v>
      </c>
      <c r="E543" s="567">
        <v>7</v>
      </c>
      <c r="F543" s="567">
        <v>15</v>
      </c>
      <c r="G543" s="567">
        <v>327</v>
      </c>
      <c r="H543" s="567">
        <v>3170</v>
      </c>
      <c r="O543" s="568" t="s">
        <v>2321</v>
      </c>
      <c r="P543" s="22">
        <f t="shared" si="24"/>
        <v>4</v>
      </c>
      <c r="Q543" s="22">
        <f t="shared" si="25"/>
        <v>1555</v>
      </c>
      <c r="R543" s="22">
        <f t="shared" si="26"/>
        <v>1558</v>
      </c>
    </row>
    <row r="544" spans="1:18" x14ac:dyDescent="0.2">
      <c r="A544" s="567">
        <v>1039</v>
      </c>
      <c r="B544" s="568" t="s">
        <v>1531</v>
      </c>
      <c r="C544" s="568" t="s">
        <v>1530</v>
      </c>
      <c r="D544" s="567">
        <v>2700</v>
      </c>
      <c r="E544" s="567">
        <v>14</v>
      </c>
      <c r="F544" s="567">
        <v>21</v>
      </c>
      <c r="G544" s="567">
        <v>225</v>
      </c>
      <c r="H544" s="567">
        <v>2140</v>
      </c>
      <c r="O544" s="568" t="s">
        <v>159</v>
      </c>
      <c r="P544" s="22">
        <f t="shared" si="24"/>
        <v>2</v>
      </c>
      <c r="Q544" s="22">
        <f t="shared" si="25"/>
        <v>1559</v>
      </c>
      <c r="R544" s="22">
        <f t="shared" si="26"/>
        <v>1560</v>
      </c>
    </row>
    <row r="545" spans="1:18" x14ac:dyDescent="0.2">
      <c r="A545" s="567">
        <v>1052</v>
      </c>
      <c r="B545" s="568" t="s">
        <v>1531</v>
      </c>
      <c r="C545" s="568" t="s">
        <v>118</v>
      </c>
      <c r="D545" s="567">
        <v>2713</v>
      </c>
      <c r="E545" s="567">
        <v>14</v>
      </c>
      <c r="F545" s="567">
        <v>21</v>
      </c>
      <c r="G545" s="567">
        <v>225</v>
      </c>
      <c r="H545" s="567">
        <v>2140</v>
      </c>
      <c r="O545" s="568" t="s">
        <v>750</v>
      </c>
      <c r="P545" s="22">
        <f t="shared" si="24"/>
        <v>2</v>
      </c>
      <c r="Q545" s="22">
        <f t="shared" si="25"/>
        <v>1561</v>
      </c>
      <c r="R545" s="22">
        <f t="shared" si="26"/>
        <v>1562</v>
      </c>
    </row>
    <row r="546" spans="1:18" x14ac:dyDescent="0.2">
      <c r="A546" s="567">
        <v>1051</v>
      </c>
      <c r="B546" s="568" t="s">
        <v>1531</v>
      </c>
      <c r="C546" s="568" t="s">
        <v>1552</v>
      </c>
      <c r="D546" s="567">
        <v>2712</v>
      </c>
      <c r="E546" s="567">
        <v>14</v>
      </c>
      <c r="F546" s="567">
        <v>21</v>
      </c>
      <c r="G546" s="567">
        <v>225</v>
      </c>
      <c r="H546" s="567">
        <v>2140</v>
      </c>
      <c r="O546" s="568" t="s">
        <v>764</v>
      </c>
      <c r="P546" s="22">
        <f t="shared" si="24"/>
        <v>1</v>
      </c>
      <c r="Q546" s="22">
        <f t="shared" si="25"/>
        <v>1563</v>
      </c>
      <c r="R546" s="22">
        <f t="shared" si="26"/>
        <v>1563</v>
      </c>
    </row>
    <row r="547" spans="1:18" x14ac:dyDescent="0.2">
      <c r="A547" s="567">
        <v>1050</v>
      </c>
      <c r="B547" s="568" t="s">
        <v>1531</v>
      </c>
      <c r="C547" s="568" t="s">
        <v>1553</v>
      </c>
      <c r="D547" s="567">
        <v>2711</v>
      </c>
      <c r="E547" s="567">
        <v>14</v>
      </c>
      <c r="F547" s="567">
        <v>21</v>
      </c>
      <c r="G547" s="567">
        <v>225</v>
      </c>
      <c r="H547" s="567">
        <v>2140</v>
      </c>
      <c r="O547" s="568" t="s">
        <v>1263</v>
      </c>
      <c r="P547" s="22">
        <f t="shared" si="24"/>
        <v>9</v>
      </c>
      <c r="Q547" s="22">
        <f t="shared" si="25"/>
        <v>1564</v>
      </c>
      <c r="R547" s="22">
        <f t="shared" si="26"/>
        <v>1572</v>
      </c>
    </row>
    <row r="548" spans="1:18" x14ac:dyDescent="0.2">
      <c r="A548" s="567">
        <v>1049</v>
      </c>
      <c r="B548" s="568" t="s">
        <v>1531</v>
      </c>
      <c r="C548" s="568" t="s">
        <v>1554</v>
      </c>
      <c r="D548" s="567">
        <v>2710</v>
      </c>
      <c r="E548" s="567">
        <v>14</v>
      </c>
      <c r="F548" s="567">
        <v>21</v>
      </c>
      <c r="G548" s="567">
        <v>225</v>
      </c>
      <c r="H548" s="567">
        <v>2140</v>
      </c>
      <c r="O548" s="568" t="s">
        <v>3104</v>
      </c>
      <c r="P548" s="22">
        <f t="shared" si="24"/>
        <v>6</v>
      </c>
      <c r="Q548" s="22">
        <f t="shared" si="25"/>
        <v>1573</v>
      </c>
      <c r="R548" s="22">
        <f t="shared" si="26"/>
        <v>1578</v>
      </c>
    </row>
    <row r="549" spans="1:18" x14ac:dyDescent="0.2">
      <c r="A549" s="567">
        <v>1048</v>
      </c>
      <c r="B549" s="568" t="s">
        <v>1531</v>
      </c>
      <c r="C549" s="568" t="s">
        <v>1555</v>
      </c>
      <c r="D549" s="567">
        <v>2709</v>
      </c>
      <c r="E549" s="567">
        <v>14</v>
      </c>
      <c r="F549" s="567">
        <v>21</v>
      </c>
      <c r="G549" s="567">
        <v>225</v>
      </c>
      <c r="H549" s="567">
        <v>2140</v>
      </c>
      <c r="O549" s="568" t="s">
        <v>908</v>
      </c>
      <c r="P549" s="22">
        <f t="shared" si="24"/>
        <v>9</v>
      </c>
      <c r="Q549" s="22">
        <f t="shared" si="25"/>
        <v>1579</v>
      </c>
      <c r="R549" s="22">
        <f t="shared" si="26"/>
        <v>1587</v>
      </c>
    </row>
    <row r="550" spans="1:18" x14ac:dyDescent="0.2">
      <c r="A550" s="567">
        <v>1047</v>
      </c>
      <c r="B550" s="568" t="s">
        <v>1531</v>
      </c>
      <c r="C550" s="568" t="s">
        <v>1556</v>
      </c>
      <c r="D550" s="567">
        <v>2708</v>
      </c>
      <c r="E550" s="567">
        <v>14</v>
      </c>
      <c r="F550" s="567">
        <v>21</v>
      </c>
      <c r="G550" s="567">
        <v>225</v>
      </c>
      <c r="H550" s="567">
        <v>2140</v>
      </c>
      <c r="O550" s="568" t="s">
        <v>1003</v>
      </c>
      <c r="P550" s="22">
        <f t="shared" si="24"/>
        <v>4</v>
      </c>
      <c r="Q550" s="22">
        <f t="shared" si="25"/>
        <v>1588</v>
      </c>
      <c r="R550" s="22">
        <f t="shared" si="26"/>
        <v>1591</v>
      </c>
    </row>
    <row r="551" spans="1:18" x14ac:dyDescent="0.2">
      <c r="A551" s="567">
        <v>1046</v>
      </c>
      <c r="B551" s="568" t="s">
        <v>1531</v>
      </c>
      <c r="C551" s="568" t="s">
        <v>1557</v>
      </c>
      <c r="D551" s="567">
        <v>2707</v>
      </c>
      <c r="E551" s="567">
        <v>14</v>
      </c>
      <c r="F551" s="567">
        <v>21</v>
      </c>
      <c r="G551" s="567">
        <v>225</v>
      </c>
      <c r="H551" s="567">
        <v>2140</v>
      </c>
      <c r="O551" s="568" t="s">
        <v>3135</v>
      </c>
      <c r="P551" s="22">
        <f t="shared" si="24"/>
        <v>1</v>
      </c>
      <c r="Q551" s="22">
        <f t="shared" si="25"/>
        <v>1592</v>
      </c>
      <c r="R551" s="22">
        <f t="shared" si="26"/>
        <v>1592</v>
      </c>
    </row>
    <row r="552" spans="1:18" x14ac:dyDescent="0.2">
      <c r="A552" s="567">
        <v>1045</v>
      </c>
      <c r="B552" s="568" t="s">
        <v>1531</v>
      </c>
      <c r="C552" s="568" t="s">
        <v>1558</v>
      </c>
      <c r="D552" s="567">
        <v>2706</v>
      </c>
      <c r="E552" s="567">
        <v>14</v>
      </c>
      <c r="F552" s="567">
        <v>21</v>
      </c>
      <c r="G552" s="567">
        <v>225</v>
      </c>
      <c r="H552" s="567">
        <v>2140</v>
      </c>
      <c r="O552" s="568" t="s">
        <v>1290</v>
      </c>
      <c r="P552" s="22">
        <f t="shared" si="24"/>
        <v>1</v>
      </c>
      <c r="Q552" s="22">
        <f t="shared" si="25"/>
        <v>1593</v>
      </c>
      <c r="R552" s="22">
        <f t="shared" si="26"/>
        <v>1593</v>
      </c>
    </row>
    <row r="553" spans="1:18" x14ac:dyDescent="0.2">
      <c r="A553" s="567">
        <v>1044</v>
      </c>
      <c r="B553" s="568" t="s">
        <v>1531</v>
      </c>
      <c r="C553" s="568" t="s">
        <v>1559</v>
      </c>
      <c r="D553" s="567">
        <v>2705</v>
      </c>
      <c r="E553" s="567">
        <v>14</v>
      </c>
      <c r="F553" s="567">
        <v>21</v>
      </c>
      <c r="G553" s="567">
        <v>225</v>
      </c>
      <c r="H553" s="567">
        <v>2140</v>
      </c>
      <c r="O553" s="568" t="s">
        <v>427</v>
      </c>
      <c r="P553" s="22">
        <f t="shared" si="24"/>
        <v>1</v>
      </c>
      <c r="Q553" s="22">
        <f t="shared" si="25"/>
        <v>1594</v>
      </c>
      <c r="R553" s="22">
        <f t="shared" si="26"/>
        <v>1594</v>
      </c>
    </row>
    <row r="554" spans="1:18" x14ac:dyDescent="0.2">
      <c r="A554" s="567">
        <v>1043</v>
      </c>
      <c r="B554" s="568" t="s">
        <v>1531</v>
      </c>
      <c r="C554" s="568" t="s">
        <v>1560</v>
      </c>
      <c r="D554" s="567">
        <v>2704</v>
      </c>
      <c r="E554" s="567">
        <v>14</v>
      </c>
      <c r="F554" s="567">
        <v>21</v>
      </c>
      <c r="G554" s="567">
        <v>225</v>
      </c>
      <c r="H554" s="567">
        <v>2140</v>
      </c>
      <c r="O554" s="568" t="s">
        <v>282</v>
      </c>
      <c r="P554" s="22">
        <f t="shared" si="24"/>
        <v>6</v>
      </c>
      <c r="Q554" s="22">
        <f t="shared" si="25"/>
        <v>1595</v>
      </c>
      <c r="R554" s="22">
        <f t="shared" si="26"/>
        <v>1600</v>
      </c>
    </row>
    <row r="555" spans="1:18" x14ac:dyDescent="0.2">
      <c r="A555" s="567">
        <v>1042</v>
      </c>
      <c r="B555" s="568" t="s">
        <v>1531</v>
      </c>
      <c r="C555" s="568" t="s">
        <v>1561</v>
      </c>
      <c r="D555" s="567">
        <v>2703</v>
      </c>
      <c r="E555" s="567">
        <v>14</v>
      </c>
      <c r="F555" s="567">
        <v>21</v>
      </c>
      <c r="G555" s="567">
        <v>225</v>
      </c>
      <c r="H555" s="567">
        <v>2140</v>
      </c>
      <c r="O555" s="568" t="s">
        <v>914</v>
      </c>
      <c r="P555" s="22">
        <f t="shared" si="24"/>
        <v>9</v>
      </c>
      <c r="Q555" s="22">
        <f t="shared" si="25"/>
        <v>1601</v>
      </c>
      <c r="R555" s="22">
        <f t="shared" si="26"/>
        <v>1609</v>
      </c>
    </row>
    <row r="556" spans="1:18" x14ac:dyDescent="0.2">
      <c r="A556" s="567">
        <v>1041</v>
      </c>
      <c r="B556" s="568" t="s">
        <v>1531</v>
      </c>
      <c r="C556" s="568" t="s">
        <v>643</v>
      </c>
      <c r="D556" s="567">
        <v>2702</v>
      </c>
      <c r="E556" s="567">
        <v>14</v>
      </c>
      <c r="F556" s="567">
        <v>21</v>
      </c>
      <c r="G556" s="567">
        <v>225</v>
      </c>
      <c r="H556" s="567">
        <v>2140</v>
      </c>
      <c r="O556" s="568" t="s">
        <v>953</v>
      </c>
      <c r="P556" s="22">
        <f t="shared" si="24"/>
        <v>6</v>
      </c>
      <c r="Q556" s="22">
        <f t="shared" si="25"/>
        <v>1610</v>
      </c>
      <c r="R556" s="22">
        <f t="shared" si="26"/>
        <v>1615</v>
      </c>
    </row>
    <row r="557" spans="1:18" x14ac:dyDescent="0.2">
      <c r="A557" s="567">
        <v>1040</v>
      </c>
      <c r="B557" s="568" t="s">
        <v>1531</v>
      </c>
      <c r="C557" s="568" t="s">
        <v>1562</v>
      </c>
      <c r="D557" s="567">
        <v>2701</v>
      </c>
      <c r="E557" s="567">
        <v>14</v>
      </c>
      <c r="F557" s="567">
        <v>21</v>
      </c>
      <c r="G557" s="567">
        <v>225</v>
      </c>
      <c r="H557" s="567">
        <v>2140</v>
      </c>
      <c r="O557" s="568" t="s">
        <v>1142</v>
      </c>
      <c r="P557" s="22">
        <f t="shared" si="24"/>
        <v>2</v>
      </c>
      <c r="Q557" s="22">
        <f t="shared" si="25"/>
        <v>1616</v>
      </c>
      <c r="R557" s="22">
        <f t="shared" si="26"/>
        <v>1617</v>
      </c>
    </row>
    <row r="558" spans="1:18" x14ac:dyDescent="0.2">
      <c r="A558" s="567">
        <v>1926</v>
      </c>
      <c r="B558" s="568" t="s">
        <v>891</v>
      </c>
      <c r="C558" s="568" t="s">
        <v>1868</v>
      </c>
      <c r="D558" s="567">
        <v>5442</v>
      </c>
      <c r="E558" s="567">
        <v>20</v>
      </c>
      <c r="F558" s="567">
        <v>6</v>
      </c>
      <c r="G558" s="567">
        <v>315</v>
      </c>
      <c r="H558" s="567">
        <v>3120</v>
      </c>
      <c r="O558" s="568" t="s">
        <v>1333</v>
      </c>
      <c r="P558" s="22">
        <f t="shared" si="24"/>
        <v>1</v>
      </c>
      <c r="Q558" s="22">
        <f t="shared" si="25"/>
        <v>1618</v>
      </c>
      <c r="R558" s="22">
        <f t="shared" si="26"/>
        <v>1618</v>
      </c>
    </row>
    <row r="559" spans="1:18" x14ac:dyDescent="0.2">
      <c r="A559" s="567">
        <v>1927</v>
      </c>
      <c r="B559" s="568" t="s">
        <v>891</v>
      </c>
      <c r="C559" s="568" t="s">
        <v>1880</v>
      </c>
      <c r="D559" s="567">
        <v>5443</v>
      </c>
      <c r="E559" s="567">
        <v>20</v>
      </c>
      <c r="F559" s="567">
        <v>6</v>
      </c>
      <c r="G559" s="567">
        <v>315</v>
      </c>
      <c r="H559" s="567">
        <v>3120</v>
      </c>
      <c r="O559" s="568" t="s">
        <v>2464</v>
      </c>
      <c r="P559" s="22">
        <f t="shared" si="24"/>
        <v>6</v>
      </c>
      <c r="Q559" s="22">
        <f t="shared" si="25"/>
        <v>1619</v>
      </c>
      <c r="R559" s="22">
        <f t="shared" si="26"/>
        <v>1624</v>
      </c>
    </row>
    <row r="560" spans="1:18" x14ac:dyDescent="0.2">
      <c r="A560" s="567">
        <v>1925</v>
      </c>
      <c r="B560" s="568" t="s">
        <v>891</v>
      </c>
      <c r="C560" s="568" t="s">
        <v>1882</v>
      </c>
      <c r="D560" s="567">
        <v>5441</v>
      </c>
      <c r="E560" s="567">
        <v>20</v>
      </c>
      <c r="F560" s="567">
        <v>6</v>
      </c>
      <c r="G560" s="567">
        <v>315</v>
      </c>
      <c r="H560" s="567">
        <v>3120</v>
      </c>
      <c r="O560" s="568" t="s">
        <v>2969</v>
      </c>
      <c r="P560" s="22">
        <f t="shared" si="24"/>
        <v>5</v>
      </c>
      <c r="Q560" s="22">
        <f t="shared" si="25"/>
        <v>1625</v>
      </c>
      <c r="R560" s="22">
        <f t="shared" si="26"/>
        <v>1629</v>
      </c>
    </row>
    <row r="561" spans="1:18" x14ac:dyDescent="0.2">
      <c r="A561" s="567">
        <v>1924</v>
      </c>
      <c r="B561" s="568" t="s">
        <v>891</v>
      </c>
      <c r="C561" s="568" t="s">
        <v>891</v>
      </c>
      <c r="D561" s="567">
        <v>5440</v>
      </c>
      <c r="E561" s="567">
        <v>20</v>
      </c>
      <c r="F561" s="567">
        <v>6</v>
      </c>
      <c r="G561" s="567">
        <v>315</v>
      </c>
      <c r="H561" s="567">
        <v>3120</v>
      </c>
      <c r="O561" s="568" t="s">
        <v>1369</v>
      </c>
      <c r="P561" s="22">
        <f t="shared" si="24"/>
        <v>1</v>
      </c>
      <c r="Q561" s="22">
        <f t="shared" si="25"/>
        <v>1630</v>
      </c>
      <c r="R561" s="22">
        <f t="shared" si="26"/>
        <v>1630</v>
      </c>
    </row>
    <row r="562" spans="1:18" x14ac:dyDescent="0.2">
      <c r="A562" s="567">
        <v>2202</v>
      </c>
      <c r="B562" s="568" t="s">
        <v>1925</v>
      </c>
      <c r="C562" s="568" t="s">
        <v>1925</v>
      </c>
      <c r="D562" s="567">
        <v>6365</v>
      </c>
      <c r="E562" s="567">
        <v>8</v>
      </c>
      <c r="F562" s="567">
        <v>14</v>
      </c>
      <c r="G562" s="567">
        <v>327</v>
      </c>
      <c r="H562" s="567">
        <v>3170</v>
      </c>
      <c r="O562" s="568" t="s">
        <v>2134</v>
      </c>
      <c r="P562" s="22">
        <f t="shared" si="24"/>
        <v>8</v>
      </c>
      <c r="Q562" s="22">
        <f t="shared" si="25"/>
        <v>1631</v>
      </c>
      <c r="R562" s="22">
        <f t="shared" si="26"/>
        <v>1638</v>
      </c>
    </row>
    <row r="563" spans="1:18" x14ac:dyDescent="0.2">
      <c r="A563" s="567">
        <v>1990</v>
      </c>
      <c r="B563" s="568" t="s">
        <v>1960</v>
      </c>
      <c r="C563" s="568" t="s">
        <v>1960</v>
      </c>
      <c r="D563" s="567">
        <v>5650</v>
      </c>
      <c r="E563" s="567">
        <v>22</v>
      </c>
      <c r="F563" s="567">
        <v>3</v>
      </c>
      <c r="G563" s="567">
        <v>315</v>
      </c>
      <c r="H563" s="567">
        <v>3120</v>
      </c>
      <c r="O563" s="568" t="s">
        <v>3225</v>
      </c>
      <c r="P563" s="22">
        <f t="shared" si="24"/>
        <v>4</v>
      </c>
      <c r="Q563" s="22">
        <f t="shared" si="25"/>
        <v>1639</v>
      </c>
      <c r="R563" s="22">
        <f t="shared" si="26"/>
        <v>1642</v>
      </c>
    </row>
    <row r="564" spans="1:18" x14ac:dyDescent="0.2">
      <c r="A564" s="567">
        <v>1991</v>
      </c>
      <c r="B564" s="568" t="s">
        <v>1960</v>
      </c>
      <c r="C564" s="568" t="s">
        <v>1961</v>
      </c>
      <c r="D564" s="567">
        <v>5651</v>
      </c>
      <c r="E564" s="567">
        <v>22</v>
      </c>
      <c r="F564" s="567">
        <v>3</v>
      </c>
      <c r="G564" s="567">
        <v>315</v>
      </c>
      <c r="H564" s="567">
        <v>3120</v>
      </c>
      <c r="O564" s="568" t="s">
        <v>3160</v>
      </c>
      <c r="P564" s="22">
        <f t="shared" si="24"/>
        <v>1</v>
      </c>
      <c r="Q564" s="22">
        <f t="shared" si="25"/>
        <v>1643</v>
      </c>
      <c r="R564" s="22">
        <f t="shared" si="26"/>
        <v>1643</v>
      </c>
    </row>
    <row r="565" spans="1:18" x14ac:dyDescent="0.2">
      <c r="A565" s="567">
        <v>1393</v>
      </c>
      <c r="B565" s="568" t="s">
        <v>1104</v>
      </c>
      <c r="C565" s="568" t="s">
        <v>1103</v>
      </c>
      <c r="D565" s="567">
        <v>3787</v>
      </c>
      <c r="E565" s="567">
        <v>7</v>
      </c>
      <c r="F565" s="567">
        <v>3</v>
      </c>
      <c r="G565" s="567">
        <v>216</v>
      </c>
      <c r="H565" s="567">
        <v>2100</v>
      </c>
      <c r="O565" s="568" t="s">
        <v>2031</v>
      </c>
      <c r="P565" s="22">
        <f t="shared" si="24"/>
        <v>4</v>
      </c>
      <c r="Q565" s="22">
        <f t="shared" si="25"/>
        <v>1644</v>
      </c>
      <c r="R565" s="22">
        <f t="shared" si="26"/>
        <v>1647</v>
      </c>
    </row>
    <row r="566" spans="1:18" x14ac:dyDescent="0.2">
      <c r="A566" s="567">
        <v>1386</v>
      </c>
      <c r="B566" s="568" t="s">
        <v>1104</v>
      </c>
      <c r="C566" s="568" t="s">
        <v>1104</v>
      </c>
      <c r="D566" s="567">
        <v>3780</v>
      </c>
      <c r="E566" s="567">
        <v>7</v>
      </c>
      <c r="F566" s="567">
        <v>3</v>
      </c>
      <c r="G566" s="567">
        <v>216</v>
      </c>
      <c r="H566" s="567">
        <v>2100</v>
      </c>
      <c r="O566" s="568" t="s">
        <v>549</v>
      </c>
      <c r="P566" s="22">
        <f t="shared" si="24"/>
        <v>2</v>
      </c>
      <c r="Q566" s="22">
        <f t="shared" si="25"/>
        <v>1648</v>
      </c>
      <c r="R566" s="22">
        <f t="shared" si="26"/>
        <v>1649</v>
      </c>
    </row>
    <row r="567" spans="1:18" x14ac:dyDescent="0.2">
      <c r="A567" s="567">
        <v>1387</v>
      </c>
      <c r="B567" s="568" t="s">
        <v>1104</v>
      </c>
      <c r="C567" s="568" t="s">
        <v>1122</v>
      </c>
      <c r="D567" s="567">
        <v>3781</v>
      </c>
      <c r="E567" s="567">
        <v>7</v>
      </c>
      <c r="F567" s="567">
        <v>3</v>
      </c>
      <c r="G567" s="567">
        <v>216</v>
      </c>
      <c r="H567" s="567">
        <v>2100</v>
      </c>
      <c r="O567" s="568" t="s">
        <v>1054</v>
      </c>
      <c r="P567" s="22">
        <f t="shared" si="24"/>
        <v>2</v>
      </c>
      <c r="Q567" s="22">
        <f t="shared" si="25"/>
        <v>1650</v>
      </c>
      <c r="R567" s="22">
        <f t="shared" si="26"/>
        <v>1651</v>
      </c>
    </row>
    <row r="568" spans="1:18" x14ac:dyDescent="0.2">
      <c r="A568" s="567">
        <v>1388</v>
      </c>
      <c r="B568" s="568" t="s">
        <v>1104</v>
      </c>
      <c r="C568" s="568" t="s">
        <v>1123</v>
      </c>
      <c r="D568" s="567">
        <v>3782</v>
      </c>
      <c r="E568" s="567">
        <v>7</v>
      </c>
      <c r="F568" s="567">
        <v>3</v>
      </c>
      <c r="G568" s="567">
        <v>216</v>
      </c>
      <c r="H568" s="567">
        <v>2100</v>
      </c>
      <c r="O568" s="568" t="s">
        <v>2685</v>
      </c>
      <c r="P568" s="22">
        <f t="shared" si="24"/>
        <v>9</v>
      </c>
      <c r="Q568" s="22">
        <f t="shared" si="25"/>
        <v>1652</v>
      </c>
      <c r="R568" s="22">
        <f t="shared" si="26"/>
        <v>1660</v>
      </c>
    </row>
    <row r="569" spans="1:18" x14ac:dyDescent="0.2">
      <c r="A569" s="567">
        <v>1389</v>
      </c>
      <c r="B569" s="568" t="s">
        <v>1104</v>
      </c>
      <c r="C569" s="568" t="s">
        <v>1124</v>
      </c>
      <c r="D569" s="567">
        <v>3783</v>
      </c>
      <c r="E569" s="567">
        <v>7</v>
      </c>
      <c r="F569" s="567">
        <v>3</v>
      </c>
      <c r="G569" s="567">
        <v>216</v>
      </c>
      <c r="H569" s="567">
        <v>2100</v>
      </c>
      <c r="O569" s="568" t="s">
        <v>135</v>
      </c>
      <c r="P569" s="22">
        <f t="shared" si="24"/>
        <v>3</v>
      </c>
      <c r="Q569" s="22">
        <f t="shared" si="25"/>
        <v>1661</v>
      </c>
      <c r="R569" s="22">
        <f t="shared" si="26"/>
        <v>1663</v>
      </c>
    </row>
    <row r="570" spans="1:18" x14ac:dyDescent="0.2">
      <c r="A570" s="567">
        <v>1390</v>
      </c>
      <c r="B570" s="568" t="s">
        <v>1104</v>
      </c>
      <c r="C570" s="568" t="s">
        <v>1125</v>
      </c>
      <c r="D570" s="567">
        <v>3784</v>
      </c>
      <c r="E570" s="567">
        <v>7</v>
      </c>
      <c r="F570" s="567">
        <v>3</v>
      </c>
      <c r="G570" s="567">
        <v>216</v>
      </c>
      <c r="H570" s="567">
        <v>2100</v>
      </c>
      <c r="O570" s="568" t="s">
        <v>2480</v>
      </c>
      <c r="P570" s="22">
        <f t="shared" si="24"/>
        <v>2</v>
      </c>
      <c r="Q570" s="22">
        <f t="shared" si="25"/>
        <v>1664</v>
      </c>
      <c r="R570" s="22">
        <f t="shared" si="26"/>
        <v>1665</v>
      </c>
    </row>
    <row r="571" spans="1:18" x14ac:dyDescent="0.2">
      <c r="A571" s="567">
        <v>1391</v>
      </c>
      <c r="B571" s="568" t="s">
        <v>1104</v>
      </c>
      <c r="C571" s="568" t="s">
        <v>1126</v>
      </c>
      <c r="D571" s="567">
        <v>3785</v>
      </c>
      <c r="E571" s="567">
        <v>7</v>
      </c>
      <c r="F571" s="567">
        <v>3</v>
      </c>
      <c r="G571" s="567">
        <v>216</v>
      </c>
      <c r="H571" s="567">
        <v>2100</v>
      </c>
      <c r="O571" s="568" t="s">
        <v>344</v>
      </c>
      <c r="P571" s="22">
        <f t="shared" si="24"/>
        <v>12</v>
      </c>
      <c r="Q571" s="22">
        <f t="shared" si="25"/>
        <v>1666</v>
      </c>
      <c r="R571" s="22">
        <f t="shared" si="26"/>
        <v>1677</v>
      </c>
    </row>
    <row r="572" spans="1:18" x14ac:dyDescent="0.2">
      <c r="A572" s="567">
        <v>1392</v>
      </c>
      <c r="B572" s="568" t="s">
        <v>1104</v>
      </c>
      <c r="C572" s="568" t="s">
        <v>1127</v>
      </c>
      <c r="D572" s="567">
        <v>3786</v>
      </c>
      <c r="E572" s="567">
        <v>7</v>
      </c>
      <c r="F572" s="567">
        <v>3</v>
      </c>
      <c r="G572" s="567">
        <v>216</v>
      </c>
      <c r="H572" s="567">
        <v>2100</v>
      </c>
      <c r="O572" s="568" t="s">
        <v>393</v>
      </c>
      <c r="P572" s="22">
        <f t="shared" si="24"/>
        <v>1</v>
      </c>
      <c r="Q572" s="22">
        <f t="shared" si="25"/>
        <v>1678</v>
      </c>
      <c r="R572" s="22">
        <f t="shared" si="26"/>
        <v>1678</v>
      </c>
    </row>
    <row r="573" spans="1:18" x14ac:dyDescent="0.2">
      <c r="A573" s="567">
        <v>1394</v>
      </c>
      <c r="B573" s="568" t="s">
        <v>1104</v>
      </c>
      <c r="C573" s="568" t="s">
        <v>1151</v>
      </c>
      <c r="D573" s="567">
        <v>3788</v>
      </c>
      <c r="E573" s="567">
        <v>7</v>
      </c>
      <c r="F573" s="567">
        <v>3</v>
      </c>
      <c r="G573" s="567">
        <v>216</v>
      </c>
      <c r="H573" s="567">
        <v>2100</v>
      </c>
      <c r="O573" s="568" t="s">
        <v>2199</v>
      </c>
      <c r="P573" s="22">
        <f t="shared" si="24"/>
        <v>1</v>
      </c>
      <c r="Q573" s="22">
        <f t="shared" si="25"/>
        <v>1679</v>
      </c>
      <c r="R573" s="22">
        <f t="shared" si="26"/>
        <v>1679</v>
      </c>
    </row>
    <row r="574" spans="1:18" x14ac:dyDescent="0.2">
      <c r="A574" s="567">
        <v>1395</v>
      </c>
      <c r="B574" s="568" t="s">
        <v>1104</v>
      </c>
      <c r="C574" s="568" t="s">
        <v>1167</v>
      </c>
      <c r="D574" s="567">
        <v>3789</v>
      </c>
      <c r="E574" s="567">
        <v>7</v>
      </c>
      <c r="F574" s="567">
        <v>3</v>
      </c>
      <c r="G574" s="567">
        <v>216</v>
      </c>
      <c r="H574" s="567">
        <v>2100</v>
      </c>
      <c r="O574" s="568" t="s">
        <v>2484</v>
      </c>
      <c r="P574" s="22">
        <f t="shared" si="24"/>
        <v>7</v>
      </c>
      <c r="Q574" s="22">
        <f t="shared" si="25"/>
        <v>1680</v>
      </c>
      <c r="R574" s="22">
        <f t="shared" si="26"/>
        <v>1686</v>
      </c>
    </row>
    <row r="575" spans="1:18" x14ac:dyDescent="0.2">
      <c r="A575" s="567">
        <v>1398</v>
      </c>
      <c r="B575" s="568" t="s">
        <v>1163</v>
      </c>
      <c r="C575" s="568" t="s">
        <v>1163</v>
      </c>
      <c r="D575" s="567">
        <v>3810</v>
      </c>
      <c r="E575" s="567">
        <v>8</v>
      </c>
      <c r="F575" s="567">
        <v>5</v>
      </c>
      <c r="G575" s="567">
        <v>216</v>
      </c>
      <c r="H575" s="567">
        <v>2100</v>
      </c>
      <c r="O575" s="568" t="s">
        <v>612</v>
      </c>
      <c r="P575" s="22">
        <f t="shared" si="24"/>
        <v>1</v>
      </c>
      <c r="Q575" s="22">
        <f t="shared" si="25"/>
        <v>1687</v>
      </c>
      <c r="R575" s="22">
        <f t="shared" si="26"/>
        <v>1687</v>
      </c>
    </row>
    <row r="576" spans="1:18" x14ac:dyDescent="0.2">
      <c r="A576" s="567">
        <v>337</v>
      </c>
      <c r="B576" s="568" t="s">
        <v>1068</v>
      </c>
      <c r="C576" s="568" t="s">
        <v>1068</v>
      </c>
      <c r="D576" s="567">
        <v>575</v>
      </c>
      <c r="E576" s="567">
        <v>12</v>
      </c>
      <c r="F576" s="567">
        <v>19</v>
      </c>
      <c r="G576" s="567">
        <v>127</v>
      </c>
      <c r="H576" s="567">
        <v>1200</v>
      </c>
      <c r="O576" s="568" t="s">
        <v>2693</v>
      </c>
      <c r="P576" s="22">
        <f t="shared" si="24"/>
        <v>5</v>
      </c>
      <c r="Q576" s="22">
        <f t="shared" si="25"/>
        <v>1688</v>
      </c>
      <c r="R576" s="22">
        <f t="shared" si="26"/>
        <v>1692</v>
      </c>
    </row>
    <row r="577" spans="1:18" x14ac:dyDescent="0.2">
      <c r="A577" s="567">
        <v>339</v>
      </c>
      <c r="B577" s="568" t="s">
        <v>1095</v>
      </c>
      <c r="C577" s="568" t="s">
        <v>1094</v>
      </c>
      <c r="D577" s="567">
        <v>581</v>
      </c>
      <c r="E577" s="567">
        <v>13</v>
      </c>
      <c r="F577" s="567">
        <v>19</v>
      </c>
      <c r="G577" s="567">
        <v>127</v>
      </c>
      <c r="H577" s="567">
        <v>1200</v>
      </c>
      <c r="O577" s="568" t="s">
        <v>1007</v>
      </c>
      <c r="P577" s="22">
        <f t="shared" si="24"/>
        <v>1</v>
      </c>
      <c r="Q577" s="22">
        <f t="shared" si="25"/>
        <v>1693</v>
      </c>
      <c r="R577" s="22">
        <f t="shared" si="26"/>
        <v>1693</v>
      </c>
    </row>
    <row r="578" spans="1:18" x14ac:dyDescent="0.2">
      <c r="A578" s="567">
        <v>338</v>
      </c>
      <c r="B578" s="568" t="s">
        <v>1095</v>
      </c>
      <c r="C578" s="568" t="s">
        <v>1095</v>
      </c>
      <c r="D578" s="567">
        <v>580</v>
      </c>
      <c r="E578" s="567">
        <v>13</v>
      </c>
      <c r="F578" s="567">
        <v>19</v>
      </c>
      <c r="G578" s="567">
        <v>127</v>
      </c>
      <c r="H578" s="567">
        <v>1200</v>
      </c>
      <c r="O578" s="568" t="s">
        <v>3276</v>
      </c>
      <c r="P578" s="22">
        <f t="shared" si="24"/>
        <v>1</v>
      </c>
      <c r="Q578" s="22">
        <f t="shared" si="25"/>
        <v>1694</v>
      </c>
      <c r="R578" s="22">
        <f t="shared" si="26"/>
        <v>1694</v>
      </c>
    </row>
    <row r="579" spans="1:18" x14ac:dyDescent="0.2">
      <c r="A579" s="567">
        <v>2488</v>
      </c>
      <c r="B579" s="568" t="s">
        <v>2069</v>
      </c>
      <c r="C579" s="568" t="s">
        <v>2069</v>
      </c>
      <c r="D579" s="567">
        <v>7145</v>
      </c>
      <c r="E579" s="567">
        <v>12</v>
      </c>
      <c r="F579" s="567">
        <v>5</v>
      </c>
      <c r="G579" s="567">
        <v>336</v>
      </c>
      <c r="H579" s="567">
        <v>3130</v>
      </c>
      <c r="O579" s="568" t="s">
        <v>2361</v>
      </c>
      <c r="P579" s="22">
        <f t="shared" si="24"/>
        <v>1</v>
      </c>
      <c r="Q579" s="22">
        <f t="shared" si="25"/>
        <v>1695</v>
      </c>
      <c r="R579" s="22">
        <f t="shared" si="26"/>
        <v>1695</v>
      </c>
    </row>
    <row r="580" spans="1:18" x14ac:dyDescent="0.2">
      <c r="A580" s="567">
        <v>2971</v>
      </c>
      <c r="B580" s="568" t="s">
        <v>2697</v>
      </c>
      <c r="C580" s="568" t="s">
        <v>2697</v>
      </c>
      <c r="D580" s="567">
        <v>8570</v>
      </c>
      <c r="E580" s="567">
        <v>28</v>
      </c>
      <c r="F580" s="567">
        <v>12</v>
      </c>
      <c r="G580" s="567">
        <v>426</v>
      </c>
      <c r="H580" s="567">
        <v>4110</v>
      </c>
      <c r="O580" s="568" t="s">
        <v>451</v>
      </c>
      <c r="P580" s="22">
        <f t="shared" si="24"/>
        <v>2</v>
      </c>
      <c r="Q580" s="22">
        <f t="shared" si="25"/>
        <v>1696</v>
      </c>
      <c r="R580" s="22">
        <f t="shared" si="26"/>
        <v>1697</v>
      </c>
    </row>
    <row r="581" spans="1:18" x14ac:dyDescent="0.2">
      <c r="A581" s="567">
        <v>2972</v>
      </c>
      <c r="B581" s="568" t="s">
        <v>2697</v>
      </c>
      <c r="C581" s="568" t="s">
        <v>1104</v>
      </c>
      <c r="D581" s="567">
        <v>8571</v>
      </c>
      <c r="E581" s="567">
        <v>28</v>
      </c>
      <c r="F581" s="567">
        <v>12</v>
      </c>
      <c r="G581" s="567">
        <v>426</v>
      </c>
      <c r="H581" s="567">
        <v>4110</v>
      </c>
      <c r="O581" s="568" t="s">
        <v>638</v>
      </c>
      <c r="P581" s="22">
        <f t="shared" si="24"/>
        <v>1</v>
      </c>
      <c r="Q581" s="22">
        <f t="shared" si="25"/>
        <v>1698</v>
      </c>
      <c r="R581" s="22">
        <f t="shared" si="26"/>
        <v>1698</v>
      </c>
    </row>
    <row r="582" spans="1:18" x14ac:dyDescent="0.2">
      <c r="A582" s="567">
        <v>2973</v>
      </c>
      <c r="B582" s="568" t="s">
        <v>2697</v>
      </c>
      <c r="C582" s="568" t="s">
        <v>2698</v>
      </c>
      <c r="D582" s="567">
        <v>8572</v>
      </c>
      <c r="E582" s="567">
        <v>28</v>
      </c>
      <c r="F582" s="567">
        <v>12</v>
      </c>
      <c r="G582" s="567">
        <v>426</v>
      </c>
      <c r="H582" s="567">
        <v>4110</v>
      </c>
      <c r="O582" s="568" t="s">
        <v>3029</v>
      </c>
      <c r="P582" s="22">
        <f t="shared" si="24"/>
        <v>4</v>
      </c>
      <c r="Q582" s="22">
        <f t="shared" si="25"/>
        <v>1699</v>
      </c>
      <c r="R582" s="22">
        <f t="shared" si="26"/>
        <v>1702</v>
      </c>
    </row>
    <row r="583" spans="1:18" x14ac:dyDescent="0.2">
      <c r="A583" s="567">
        <v>581</v>
      </c>
      <c r="B583" s="568" t="s">
        <v>228</v>
      </c>
      <c r="C583" s="568" t="s">
        <v>227</v>
      </c>
      <c r="D583" s="567">
        <v>1251</v>
      </c>
      <c r="E583" s="567">
        <v>18</v>
      </c>
      <c r="F583" s="567">
        <v>2</v>
      </c>
      <c r="G583" s="567">
        <v>119</v>
      </c>
      <c r="H583" s="567">
        <v>1110</v>
      </c>
      <c r="O583" s="568" t="s">
        <v>1383</v>
      </c>
      <c r="P583" s="22">
        <f t="shared" si="24"/>
        <v>3</v>
      </c>
      <c r="Q583" s="22">
        <f t="shared" si="25"/>
        <v>1703</v>
      </c>
      <c r="R583" s="22">
        <f t="shared" si="26"/>
        <v>1705</v>
      </c>
    </row>
    <row r="584" spans="1:18" x14ac:dyDescent="0.2">
      <c r="A584" s="567">
        <v>580</v>
      </c>
      <c r="B584" s="568" t="s">
        <v>228</v>
      </c>
      <c r="C584" s="568" t="s">
        <v>253</v>
      </c>
      <c r="D584" s="567">
        <v>1250</v>
      </c>
      <c r="E584" s="567">
        <v>18</v>
      </c>
      <c r="F584" s="567">
        <v>2</v>
      </c>
      <c r="G584" s="567">
        <v>119</v>
      </c>
      <c r="H584" s="567">
        <v>1110</v>
      </c>
      <c r="O584" s="568" t="s">
        <v>878</v>
      </c>
      <c r="P584" s="22">
        <f t="shared" si="24"/>
        <v>4</v>
      </c>
      <c r="Q584" s="22">
        <f t="shared" si="25"/>
        <v>1706</v>
      </c>
      <c r="R584" s="22">
        <f t="shared" si="26"/>
        <v>1709</v>
      </c>
    </row>
    <row r="585" spans="1:18" x14ac:dyDescent="0.2">
      <c r="A585" s="567">
        <v>2754</v>
      </c>
      <c r="B585" s="568" t="s">
        <v>2641</v>
      </c>
      <c r="C585" s="568" t="s">
        <v>2641</v>
      </c>
      <c r="D585" s="567">
        <v>7910</v>
      </c>
      <c r="E585" s="567">
        <v>13</v>
      </c>
      <c r="F585" s="567">
        <v>14</v>
      </c>
      <c r="G585" s="567">
        <v>417</v>
      </c>
      <c r="H585" s="567">
        <v>4100</v>
      </c>
      <c r="O585" s="568" t="s">
        <v>632</v>
      </c>
      <c r="P585" s="22">
        <f t="shared" si="24"/>
        <v>2</v>
      </c>
      <c r="Q585" s="22">
        <f t="shared" si="25"/>
        <v>1710</v>
      </c>
      <c r="R585" s="22">
        <f t="shared" si="26"/>
        <v>1711</v>
      </c>
    </row>
    <row r="586" spans="1:18" x14ac:dyDescent="0.2">
      <c r="A586" s="567">
        <v>2755</v>
      </c>
      <c r="B586" s="568" t="s">
        <v>2641</v>
      </c>
      <c r="C586" s="568" t="s">
        <v>2643</v>
      </c>
      <c r="D586" s="567">
        <v>7911</v>
      </c>
      <c r="E586" s="567">
        <v>13</v>
      </c>
      <c r="F586" s="567">
        <v>14</v>
      </c>
      <c r="G586" s="567">
        <v>417</v>
      </c>
      <c r="H586" s="567">
        <v>4100</v>
      </c>
      <c r="O586" s="568" t="s">
        <v>73</v>
      </c>
      <c r="P586" s="22">
        <f t="shared" si="24"/>
        <v>1</v>
      </c>
      <c r="Q586" s="22">
        <f t="shared" si="25"/>
        <v>1712</v>
      </c>
      <c r="R586" s="22">
        <f t="shared" si="26"/>
        <v>1712</v>
      </c>
    </row>
    <row r="587" spans="1:18" x14ac:dyDescent="0.2">
      <c r="A587" s="567">
        <v>2763</v>
      </c>
      <c r="B587" s="568" t="s">
        <v>2641</v>
      </c>
      <c r="C587" s="568" t="s">
        <v>2665</v>
      </c>
      <c r="D587" s="567">
        <v>7919</v>
      </c>
      <c r="E587" s="567">
        <v>13</v>
      </c>
      <c r="F587" s="567">
        <v>14</v>
      </c>
      <c r="G587" s="567">
        <v>417</v>
      </c>
      <c r="H587" s="567">
        <v>4100</v>
      </c>
      <c r="O587" s="568" t="s">
        <v>830</v>
      </c>
      <c r="P587" s="22">
        <f t="shared" si="24"/>
        <v>4</v>
      </c>
      <c r="Q587" s="22">
        <f t="shared" si="25"/>
        <v>1713</v>
      </c>
      <c r="R587" s="22">
        <f t="shared" si="26"/>
        <v>1716</v>
      </c>
    </row>
    <row r="588" spans="1:18" x14ac:dyDescent="0.2">
      <c r="A588" s="567">
        <v>2762</v>
      </c>
      <c r="B588" s="568" t="s">
        <v>2641</v>
      </c>
      <c r="C588" s="568" t="s">
        <v>2666</v>
      </c>
      <c r="D588" s="567">
        <v>7918</v>
      </c>
      <c r="E588" s="567">
        <v>13</v>
      </c>
      <c r="F588" s="567">
        <v>14</v>
      </c>
      <c r="G588" s="567">
        <v>417</v>
      </c>
      <c r="H588" s="567">
        <v>4100</v>
      </c>
      <c r="O588" s="568" t="s">
        <v>1997</v>
      </c>
      <c r="P588" s="22">
        <f t="shared" si="24"/>
        <v>4</v>
      </c>
      <c r="Q588" s="22">
        <f t="shared" si="25"/>
        <v>1717</v>
      </c>
      <c r="R588" s="22">
        <f t="shared" si="26"/>
        <v>1720</v>
      </c>
    </row>
    <row r="589" spans="1:18" x14ac:dyDescent="0.2">
      <c r="A589" s="567">
        <v>2761</v>
      </c>
      <c r="B589" s="568" t="s">
        <v>2641</v>
      </c>
      <c r="C589" s="568" t="s">
        <v>2667</v>
      </c>
      <c r="D589" s="567">
        <v>7917</v>
      </c>
      <c r="E589" s="567">
        <v>13</v>
      </c>
      <c r="F589" s="567">
        <v>14</v>
      </c>
      <c r="G589" s="567">
        <v>417</v>
      </c>
      <c r="H589" s="567">
        <v>4100</v>
      </c>
      <c r="O589" s="568" t="s">
        <v>667</v>
      </c>
      <c r="P589" s="22">
        <f t="shared" si="24"/>
        <v>4</v>
      </c>
      <c r="Q589" s="22">
        <f t="shared" si="25"/>
        <v>1721</v>
      </c>
      <c r="R589" s="22">
        <f t="shared" si="26"/>
        <v>1724</v>
      </c>
    </row>
    <row r="590" spans="1:18" x14ac:dyDescent="0.2">
      <c r="A590" s="567">
        <v>2760</v>
      </c>
      <c r="B590" s="568" t="s">
        <v>2641</v>
      </c>
      <c r="C590" s="568" t="s">
        <v>2668</v>
      </c>
      <c r="D590" s="567">
        <v>7916</v>
      </c>
      <c r="E590" s="567">
        <v>13</v>
      </c>
      <c r="F590" s="567">
        <v>14</v>
      </c>
      <c r="G590" s="567">
        <v>417</v>
      </c>
      <c r="H590" s="567">
        <v>4100</v>
      </c>
      <c r="O590" s="568" t="s">
        <v>247</v>
      </c>
      <c r="P590" s="22">
        <f t="shared" si="24"/>
        <v>3</v>
      </c>
      <c r="Q590" s="22">
        <f t="shared" si="25"/>
        <v>1725</v>
      </c>
      <c r="R590" s="22">
        <f t="shared" si="26"/>
        <v>1727</v>
      </c>
    </row>
    <row r="591" spans="1:18" x14ac:dyDescent="0.2">
      <c r="A591" s="567">
        <v>2759</v>
      </c>
      <c r="B591" s="568" t="s">
        <v>2641</v>
      </c>
      <c r="C591" s="568" t="s">
        <v>2669</v>
      </c>
      <c r="D591" s="567">
        <v>7915</v>
      </c>
      <c r="E591" s="567">
        <v>13</v>
      </c>
      <c r="F591" s="567">
        <v>14</v>
      </c>
      <c r="G591" s="567">
        <v>417</v>
      </c>
      <c r="H591" s="567">
        <v>4100</v>
      </c>
      <c r="O591" s="568" t="s">
        <v>2858</v>
      </c>
      <c r="P591" s="22">
        <f t="shared" ref="P591:P654" si="27">COUNTIF($B$13:$B$3400,O591)</f>
        <v>9</v>
      </c>
      <c r="Q591" s="22">
        <f t="shared" si="25"/>
        <v>1728</v>
      </c>
      <c r="R591" s="22">
        <f t="shared" si="26"/>
        <v>1736</v>
      </c>
    </row>
    <row r="592" spans="1:18" x14ac:dyDescent="0.2">
      <c r="A592" s="567">
        <v>2758</v>
      </c>
      <c r="B592" s="568" t="s">
        <v>2641</v>
      </c>
      <c r="C592" s="568" t="s">
        <v>2670</v>
      </c>
      <c r="D592" s="567">
        <v>7914</v>
      </c>
      <c r="E592" s="567">
        <v>13</v>
      </c>
      <c r="F592" s="567">
        <v>14</v>
      </c>
      <c r="G592" s="567">
        <v>417</v>
      </c>
      <c r="H592" s="567">
        <v>4100</v>
      </c>
      <c r="O592" s="568" t="s">
        <v>1102</v>
      </c>
      <c r="P592" s="22">
        <f t="shared" si="27"/>
        <v>5</v>
      </c>
      <c r="Q592" s="22">
        <f t="shared" si="25"/>
        <v>1737</v>
      </c>
      <c r="R592" s="22">
        <f t="shared" si="26"/>
        <v>1741</v>
      </c>
    </row>
    <row r="593" spans="1:18" x14ac:dyDescent="0.2">
      <c r="A593" s="567">
        <v>2757</v>
      </c>
      <c r="B593" s="568" t="s">
        <v>2641</v>
      </c>
      <c r="C593" s="568" t="s">
        <v>2671</v>
      </c>
      <c r="D593" s="567">
        <v>7913</v>
      </c>
      <c r="E593" s="567">
        <v>13</v>
      </c>
      <c r="F593" s="567">
        <v>14</v>
      </c>
      <c r="G593" s="567">
        <v>417</v>
      </c>
      <c r="H593" s="567">
        <v>4100</v>
      </c>
      <c r="O593" s="568" t="s">
        <v>2926</v>
      </c>
      <c r="P593" s="22">
        <f t="shared" si="27"/>
        <v>3</v>
      </c>
      <c r="Q593" s="22">
        <f t="shared" ref="Q593:Q656" si="28">R592+1</f>
        <v>1742</v>
      </c>
      <c r="R593" s="22">
        <f t="shared" ref="R593:R656" si="29">R592+P593</f>
        <v>1744</v>
      </c>
    </row>
    <row r="594" spans="1:18" x14ac:dyDescent="0.2">
      <c r="A594" s="567">
        <v>2756</v>
      </c>
      <c r="B594" s="568" t="s">
        <v>2641</v>
      </c>
      <c r="C594" s="568" t="s">
        <v>2672</v>
      </c>
      <c r="D594" s="567">
        <v>7912</v>
      </c>
      <c r="E594" s="567">
        <v>13</v>
      </c>
      <c r="F594" s="567">
        <v>14</v>
      </c>
      <c r="G594" s="567">
        <v>417</v>
      </c>
      <c r="H594" s="567">
        <v>4100</v>
      </c>
      <c r="O594" s="568" t="s">
        <v>862</v>
      </c>
      <c r="P594" s="22">
        <f t="shared" si="27"/>
        <v>2</v>
      </c>
      <c r="Q594" s="22">
        <f t="shared" si="28"/>
        <v>1745</v>
      </c>
      <c r="R594" s="22">
        <f t="shared" si="29"/>
        <v>1746</v>
      </c>
    </row>
    <row r="595" spans="1:18" x14ac:dyDescent="0.2">
      <c r="A595" s="567">
        <v>2288</v>
      </c>
      <c r="B595" s="568" t="s">
        <v>2343</v>
      </c>
      <c r="C595" s="568" t="s">
        <v>2342</v>
      </c>
      <c r="D595" s="567">
        <v>6600</v>
      </c>
      <c r="E595" s="567">
        <v>15</v>
      </c>
      <c r="F595" s="567">
        <v>4</v>
      </c>
      <c r="G595" s="567">
        <v>335</v>
      </c>
      <c r="H595" s="567">
        <v>3151</v>
      </c>
      <c r="O595" s="568" t="s">
        <v>1478</v>
      </c>
      <c r="P595" s="22">
        <f t="shared" si="27"/>
        <v>7</v>
      </c>
      <c r="Q595" s="22">
        <f t="shared" si="28"/>
        <v>1747</v>
      </c>
      <c r="R595" s="22">
        <f t="shared" si="29"/>
        <v>1753</v>
      </c>
    </row>
    <row r="596" spans="1:18" x14ac:dyDescent="0.2">
      <c r="A596" s="567">
        <v>1513</v>
      </c>
      <c r="B596" s="568" t="s">
        <v>1702</v>
      </c>
      <c r="C596" s="568" t="s">
        <v>1702</v>
      </c>
      <c r="D596" s="567">
        <v>4160</v>
      </c>
      <c r="E596" s="567">
        <v>85</v>
      </c>
      <c r="F596" s="567">
        <v>17</v>
      </c>
      <c r="G596" s="567">
        <v>235</v>
      </c>
      <c r="H596" s="567">
        <v>2160</v>
      </c>
      <c r="O596" s="568" t="s">
        <v>1304</v>
      </c>
      <c r="P596" s="22">
        <f t="shared" si="27"/>
        <v>2</v>
      </c>
      <c r="Q596" s="22">
        <f t="shared" si="28"/>
        <v>1754</v>
      </c>
      <c r="R596" s="22">
        <f t="shared" si="29"/>
        <v>1755</v>
      </c>
    </row>
    <row r="597" spans="1:18" x14ac:dyDescent="0.2">
      <c r="A597" s="567">
        <v>1514</v>
      </c>
      <c r="B597" s="568" t="s">
        <v>1702</v>
      </c>
      <c r="C597" s="568" t="s">
        <v>1703</v>
      </c>
      <c r="D597" s="567">
        <v>4161</v>
      </c>
      <c r="E597" s="567">
        <v>85</v>
      </c>
      <c r="F597" s="567">
        <v>17</v>
      </c>
      <c r="G597" s="567">
        <v>235</v>
      </c>
      <c r="H597" s="567">
        <v>2160</v>
      </c>
      <c r="O597" s="568" t="s">
        <v>1380</v>
      </c>
      <c r="P597" s="22">
        <f t="shared" si="27"/>
        <v>2</v>
      </c>
      <c r="Q597" s="22">
        <f t="shared" si="28"/>
        <v>1756</v>
      </c>
      <c r="R597" s="22">
        <f t="shared" si="29"/>
        <v>1757</v>
      </c>
    </row>
    <row r="598" spans="1:18" x14ac:dyDescent="0.2">
      <c r="A598" s="567">
        <v>1515</v>
      </c>
      <c r="B598" s="568" t="s">
        <v>1702</v>
      </c>
      <c r="C598" s="568" t="s">
        <v>1704</v>
      </c>
      <c r="D598" s="567">
        <v>4162</v>
      </c>
      <c r="E598" s="567">
        <v>85</v>
      </c>
      <c r="F598" s="567">
        <v>17</v>
      </c>
      <c r="G598" s="567">
        <v>235</v>
      </c>
      <c r="H598" s="567">
        <v>2160</v>
      </c>
      <c r="O598" s="568" t="s">
        <v>769</v>
      </c>
      <c r="P598" s="22">
        <f t="shared" si="27"/>
        <v>1</v>
      </c>
      <c r="Q598" s="22">
        <f t="shared" si="28"/>
        <v>1758</v>
      </c>
      <c r="R598" s="22">
        <f t="shared" si="29"/>
        <v>1758</v>
      </c>
    </row>
    <row r="599" spans="1:18" x14ac:dyDescent="0.2">
      <c r="A599" s="567">
        <v>1516</v>
      </c>
      <c r="B599" s="568" t="s">
        <v>1702</v>
      </c>
      <c r="C599" s="568" t="s">
        <v>1705</v>
      </c>
      <c r="D599" s="567">
        <v>4163</v>
      </c>
      <c r="E599" s="567">
        <v>85</v>
      </c>
      <c r="F599" s="567">
        <v>17</v>
      </c>
      <c r="G599" s="567">
        <v>235</v>
      </c>
      <c r="H599" s="567">
        <v>2160</v>
      </c>
      <c r="O599" s="568" t="s">
        <v>1147</v>
      </c>
      <c r="P599" s="22">
        <f t="shared" si="27"/>
        <v>1</v>
      </c>
      <c r="Q599" s="22">
        <f t="shared" si="28"/>
        <v>1759</v>
      </c>
      <c r="R599" s="22">
        <f t="shared" si="29"/>
        <v>1759</v>
      </c>
    </row>
    <row r="600" spans="1:18" x14ac:dyDescent="0.2">
      <c r="A600" s="567">
        <v>1517</v>
      </c>
      <c r="B600" s="568" t="s">
        <v>1702</v>
      </c>
      <c r="C600" s="568" t="s">
        <v>716</v>
      </c>
      <c r="D600" s="567">
        <v>4164</v>
      </c>
      <c r="E600" s="567">
        <v>85</v>
      </c>
      <c r="F600" s="567">
        <v>17</v>
      </c>
      <c r="G600" s="567">
        <v>235</v>
      </c>
      <c r="H600" s="567">
        <v>2160</v>
      </c>
      <c r="O600" s="568" t="s">
        <v>1993</v>
      </c>
      <c r="P600" s="22">
        <f t="shared" si="27"/>
        <v>7</v>
      </c>
      <c r="Q600" s="22">
        <f t="shared" si="28"/>
        <v>1760</v>
      </c>
      <c r="R600" s="22">
        <f t="shared" si="29"/>
        <v>1766</v>
      </c>
    </row>
    <row r="601" spans="1:18" x14ac:dyDescent="0.2">
      <c r="A601" s="567">
        <v>462</v>
      </c>
      <c r="B601" s="568" t="s">
        <v>523</v>
      </c>
      <c r="C601" s="568" t="s">
        <v>523</v>
      </c>
      <c r="D601" s="567">
        <v>885</v>
      </c>
      <c r="E601" s="567">
        <v>17</v>
      </c>
      <c r="F601" s="567">
        <v>1</v>
      </c>
      <c r="G601" s="567">
        <v>125</v>
      </c>
      <c r="H601" s="567">
        <v>1150</v>
      </c>
      <c r="O601" s="568" t="s">
        <v>3237</v>
      </c>
      <c r="P601" s="22">
        <f t="shared" si="27"/>
        <v>6</v>
      </c>
      <c r="Q601" s="22">
        <f t="shared" si="28"/>
        <v>1767</v>
      </c>
      <c r="R601" s="22">
        <f t="shared" si="29"/>
        <v>1772</v>
      </c>
    </row>
    <row r="602" spans="1:18" x14ac:dyDescent="0.2">
      <c r="A602" s="567">
        <v>298</v>
      </c>
      <c r="B602" s="568" t="s">
        <v>996</v>
      </c>
      <c r="C602" s="568" t="s">
        <v>995</v>
      </c>
      <c r="D602" s="567">
        <v>496</v>
      </c>
      <c r="E602" s="567">
        <v>14</v>
      </c>
      <c r="F602" s="567">
        <v>19</v>
      </c>
      <c r="G602" s="567">
        <v>127</v>
      </c>
      <c r="H602" s="567">
        <v>1200</v>
      </c>
      <c r="O602" s="568" t="s">
        <v>128</v>
      </c>
      <c r="P602" s="22">
        <f t="shared" si="27"/>
        <v>2</v>
      </c>
      <c r="Q602" s="22">
        <f t="shared" si="28"/>
        <v>1773</v>
      </c>
      <c r="R602" s="22">
        <f t="shared" si="29"/>
        <v>1774</v>
      </c>
    </row>
    <row r="603" spans="1:18" x14ac:dyDescent="0.2">
      <c r="A603" s="567">
        <v>299</v>
      </c>
      <c r="B603" s="568" t="s">
        <v>996</v>
      </c>
      <c r="C603" s="568" t="s">
        <v>1001</v>
      </c>
      <c r="D603" s="567">
        <v>497</v>
      </c>
      <c r="E603" s="567">
        <v>14</v>
      </c>
      <c r="F603" s="567">
        <v>19</v>
      </c>
      <c r="G603" s="567">
        <v>127</v>
      </c>
      <c r="H603" s="567">
        <v>1200</v>
      </c>
      <c r="O603" s="568" t="s">
        <v>2034</v>
      </c>
      <c r="P603" s="22">
        <f t="shared" si="27"/>
        <v>4</v>
      </c>
      <c r="Q603" s="22">
        <f t="shared" si="28"/>
        <v>1775</v>
      </c>
      <c r="R603" s="22">
        <f t="shared" si="29"/>
        <v>1778</v>
      </c>
    </row>
    <row r="604" spans="1:18" x14ac:dyDescent="0.2">
      <c r="A604" s="567">
        <v>293</v>
      </c>
      <c r="B604" s="568" t="s">
        <v>996</v>
      </c>
      <c r="C604" s="568" t="s">
        <v>1010</v>
      </c>
      <c r="D604" s="567">
        <v>491</v>
      </c>
      <c r="E604" s="567">
        <v>14</v>
      </c>
      <c r="F604" s="567">
        <v>19</v>
      </c>
      <c r="G604" s="567">
        <v>127</v>
      </c>
      <c r="H604" s="567">
        <v>1200</v>
      </c>
      <c r="O604" s="568" t="s">
        <v>1200</v>
      </c>
      <c r="P604" s="22">
        <f t="shared" si="27"/>
        <v>6</v>
      </c>
      <c r="Q604" s="22">
        <f t="shared" si="28"/>
        <v>1779</v>
      </c>
      <c r="R604" s="22">
        <f t="shared" si="29"/>
        <v>1784</v>
      </c>
    </row>
    <row r="605" spans="1:18" x14ac:dyDescent="0.2">
      <c r="A605" s="567">
        <v>295</v>
      </c>
      <c r="B605" s="568" t="s">
        <v>996</v>
      </c>
      <c r="C605" s="568" t="s">
        <v>1029</v>
      </c>
      <c r="D605" s="567">
        <v>493</v>
      </c>
      <c r="E605" s="567">
        <v>14</v>
      </c>
      <c r="F605" s="567">
        <v>19</v>
      </c>
      <c r="G605" s="567">
        <v>127</v>
      </c>
      <c r="H605" s="567">
        <v>1200</v>
      </c>
      <c r="O605" s="568" t="s">
        <v>2467</v>
      </c>
      <c r="P605" s="22">
        <f t="shared" si="27"/>
        <v>1</v>
      </c>
      <c r="Q605" s="22">
        <f t="shared" si="28"/>
        <v>1785</v>
      </c>
      <c r="R605" s="22">
        <f t="shared" si="29"/>
        <v>1785</v>
      </c>
    </row>
    <row r="606" spans="1:18" x14ac:dyDescent="0.2">
      <c r="A606" s="567">
        <v>297</v>
      </c>
      <c r="B606" s="568" t="s">
        <v>996</v>
      </c>
      <c r="C606" s="568" t="s">
        <v>582</v>
      </c>
      <c r="D606" s="567">
        <v>495</v>
      </c>
      <c r="E606" s="567">
        <v>14</v>
      </c>
      <c r="F606" s="567">
        <v>19</v>
      </c>
      <c r="G606" s="567">
        <v>127</v>
      </c>
      <c r="H606" s="567">
        <v>1200</v>
      </c>
      <c r="O606" s="568" t="s">
        <v>593</v>
      </c>
      <c r="P606" s="22">
        <f t="shared" si="27"/>
        <v>2</v>
      </c>
      <c r="Q606" s="22">
        <f t="shared" si="28"/>
        <v>1786</v>
      </c>
      <c r="R606" s="22">
        <f t="shared" si="29"/>
        <v>1787</v>
      </c>
    </row>
    <row r="607" spans="1:18" x14ac:dyDescent="0.2">
      <c r="A607" s="567">
        <v>292</v>
      </c>
      <c r="B607" s="568" t="s">
        <v>996</v>
      </c>
      <c r="C607" s="568" t="s">
        <v>996</v>
      </c>
      <c r="D607" s="567">
        <v>490</v>
      </c>
      <c r="E607" s="567">
        <v>14</v>
      </c>
      <c r="F607" s="567">
        <v>19</v>
      </c>
      <c r="G607" s="567">
        <v>127</v>
      </c>
      <c r="H607" s="567">
        <v>1200</v>
      </c>
      <c r="O607" s="568" t="s">
        <v>761</v>
      </c>
      <c r="P607" s="22">
        <f t="shared" si="27"/>
        <v>4</v>
      </c>
      <c r="Q607" s="22">
        <f t="shared" si="28"/>
        <v>1788</v>
      </c>
      <c r="R607" s="22">
        <f t="shared" si="29"/>
        <v>1791</v>
      </c>
    </row>
    <row r="608" spans="1:18" x14ac:dyDescent="0.2">
      <c r="A608" s="567">
        <v>294</v>
      </c>
      <c r="B608" s="568" t="s">
        <v>996</v>
      </c>
      <c r="C608" s="568" t="s">
        <v>1037</v>
      </c>
      <c r="D608" s="567">
        <v>492</v>
      </c>
      <c r="E608" s="567">
        <v>14</v>
      </c>
      <c r="F608" s="567">
        <v>19</v>
      </c>
      <c r="G608" s="567">
        <v>127</v>
      </c>
      <c r="H608" s="567">
        <v>1200</v>
      </c>
      <c r="O608" s="568" t="s">
        <v>650</v>
      </c>
      <c r="P608" s="22">
        <f t="shared" si="27"/>
        <v>1</v>
      </c>
      <c r="Q608" s="22">
        <f t="shared" si="28"/>
        <v>1792</v>
      </c>
      <c r="R608" s="22">
        <f t="shared" si="29"/>
        <v>1792</v>
      </c>
    </row>
    <row r="609" spans="1:18" x14ac:dyDescent="0.2">
      <c r="A609" s="567">
        <v>296</v>
      </c>
      <c r="B609" s="568" t="s">
        <v>996</v>
      </c>
      <c r="C609" s="568" t="s">
        <v>1039</v>
      </c>
      <c r="D609" s="567">
        <v>494</v>
      </c>
      <c r="E609" s="567">
        <v>14</v>
      </c>
      <c r="F609" s="567">
        <v>19</v>
      </c>
      <c r="G609" s="567">
        <v>127</v>
      </c>
      <c r="H609" s="567">
        <v>1200</v>
      </c>
      <c r="O609" s="568" t="s">
        <v>2179</v>
      </c>
      <c r="P609" s="22">
        <f t="shared" si="27"/>
        <v>2</v>
      </c>
      <c r="Q609" s="22">
        <f t="shared" si="28"/>
        <v>1793</v>
      </c>
      <c r="R609" s="22">
        <f t="shared" si="29"/>
        <v>1794</v>
      </c>
    </row>
    <row r="610" spans="1:18" x14ac:dyDescent="0.2">
      <c r="A610" s="567">
        <v>123</v>
      </c>
      <c r="B610" s="568" t="s">
        <v>372</v>
      </c>
      <c r="C610" s="568" t="s">
        <v>371</v>
      </c>
      <c r="D610" s="567">
        <v>195</v>
      </c>
      <c r="E610" s="567">
        <v>20</v>
      </c>
      <c r="F610" s="567">
        <v>20</v>
      </c>
      <c r="G610" s="567">
        <v>128</v>
      </c>
      <c r="H610" s="567">
        <v>1121</v>
      </c>
      <c r="O610" s="568" t="s">
        <v>2462</v>
      </c>
      <c r="P610" s="22">
        <f t="shared" si="27"/>
        <v>1</v>
      </c>
      <c r="Q610" s="22">
        <f t="shared" si="28"/>
        <v>1795</v>
      </c>
      <c r="R610" s="22">
        <f t="shared" si="29"/>
        <v>1795</v>
      </c>
    </row>
    <row r="611" spans="1:18" x14ac:dyDescent="0.2">
      <c r="A611" s="567">
        <v>124</v>
      </c>
      <c r="B611" s="568" t="s">
        <v>372</v>
      </c>
      <c r="C611" s="568" t="s">
        <v>373</v>
      </c>
      <c r="D611" s="567">
        <v>196</v>
      </c>
      <c r="E611" s="567">
        <v>20</v>
      </c>
      <c r="F611" s="567">
        <v>20</v>
      </c>
      <c r="G611" s="567">
        <v>128</v>
      </c>
      <c r="H611" s="567">
        <v>1121</v>
      </c>
      <c r="O611" s="568" t="s">
        <v>1036</v>
      </c>
      <c r="P611" s="22">
        <f t="shared" si="27"/>
        <v>5</v>
      </c>
      <c r="Q611" s="22">
        <f t="shared" si="28"/>
        <v>1796</v>
      </c>
      <c r="R611" s="22">
        <f t="shared" si="29"/>
        <v>1800</v>
      </c>
    </row>
    <row r="612" spans="1:18" x14ac:dyDescent="0.2">
      <c r="A612" s="567">
        <v>125</v>
      </c>
      <c r="B612" s="568" t="s">
        <v>372</v>
      </c>
      <c r="C612" s="568" t="s">
        <v>374</v>
      </c>
      <c r="D612" s="567">
        <v>197</v>
      </c>
      <c r="E612" s="567">
        <v>20</v>
      </c>
      <c r="F612" s="567">
        <v>20</v>
      </c>
      <c r="G612" s="567">
        <v>128</v>
      </c>
      <c r="H612" s="567">
        <v>1121</v>
      </c>
      <c r="O612" s="568" t="s">
        <v>2107</v>
      </c>
      <c r="P612" s="22">
        <f t="shared" si="27"/>
        <v>2</v>
      </c>
      <c r="Q612" s="22">
        <f t="shared" si="28"/>
        <v>1801</v>
      </c>
      <c r="R612" s="22">
        <f t="shared" si="29"/>
        <v>1802</v>
      </c>
    </row>
    <row r="613" spans="1:18" x14ac:dyDescent="0.2">
      <c r="A613" s="567">
        <v>126</v>
      </c>
      <c r="B613" s="568" t="s">
        <v>372</v>
      </c>
      <c r="C613" s="568" t="s">
        <v>375</v>
      </c>
      <c r="D613" s="567">
        <v>198</v>
      </c>
      <c r="E613" s="567">
        <v>20</v>
      </c>
      <c r="F613" s="567">
        <v>20</v>
      </c>
      <c r="G613" s="567">
        <v>128</v>
      </c>
      <c r="H613" s="567">
        <v>1121</v>
      </c>
      <c r="O613" s="568" t="s">
        <v>1307</v>
      </c>
      <c r="P613" s="22">
        <f t="shared" si="27"/>
        <v>5</v>
      </c>
      <c r="Q613" s="22">
        <f t="shared" si="28"/>
        <v>1803</v>
      </c>
      <c r="R613" s="22">
        <f t="shared" si="29"/>
        <v>1807</v>
      </c>
    </row>
    <row r="614" spans="1:18" x14ac:dyDescent="0.2">
      <c r="A614" s="567">
        <v>128</v>
      </c>
      <c r="B614" s="568" t="s">
        <v>372</v>
      </c>
      <c r="C614" s="568" t="s">
        <v>377</v>
      </c>
      <c r="D614" s="567">
        <v>200</v>
      </c>
      <c r="E614" s="567">
        <v>20</v>
      </c>
      <c r="F614" s="567">
        <v>20</v>
      </c>
      <c r="G614" s="567">
        <v>128</v>
      </c>
      <c r="H614" s="567">
        <v>1121</v>
      </c>
      <c r="O614" s="568" t="s">
        <v>1856</v>
      </c>
      <c r="P614" s="22">
        <f t="shared" si="27"/>
        <v>1</v>
      </c>
      <c r="Q614" s="22">
        <f t="shared" si="28"/>
        <v>1808</v>
      </c>
      <c r="R614" s="22">
        <f t="shared" si="29"/>
        <v>1808</v>
      </c>
    </row>
    <row r="615" spans="1:18" x14ac:dyDescent="0.2">
      <c r="A615" s="567">
        <v>130</v>
      </c>
      <c r="B615" s="568" t="s">
        <v>372</v>
      </c>
      <c r="C615" s="568" t="s">
        <v>378</v>
      </c>
      <c r="D615" s="567">
        <v>202</v>
      </c>
      <c r="E615" s="567">
        <v>20</v>
      </c>
      <c r="F615" s="567">
        <v>20</v>
      </c>
      <c r="G615" s="567">
        <v>128</v>
      </c>
      <c r="H615" s="567">
        <v>1121</v>
      </c>
      <c r="O615" s="568" t="s">
        <v>1427</v>
      </c>
      <c r="P615" s="22">
        <f t="shared" si="27"/>
        <v>1</v>
      </c>
      <c r="Q615" s="22">
        <f t="shared" si="28"/>
        <v>1809</v>
      </c>
      <c r="R615" s="22">
        <f t="shared" si="29"/>
        <v>1809</v>
      </c>
    </row>
    <row r="616" spans="1:18" x14ac:dyDescent="0.2">
      <c r="A616" s="567">
        <v>122</v>
      </c>
      <c r="B616" s="568" t="s">
        <v>372</v>
      </c>
      <c r="C616" s="568" t="s">
        <v>379</v>
      </c>
      <c r="D616" s="567">
        <v>194</v>
      </c>
      <c r="E616" s="567">
        <v>20</v>
      </c>
      <c r="F616" s="567">
        <v>20</v>
      </c>
      <c r="G616" s="567">
        <v>128</v>
      </c>
      <c r="H616" s="567">
        <v>1121</v>
      </c>
      <c r="O616" s="568" t="s">
        <v>787</v>
      </c>
      <c r="P616" s="22">
        <f t="shared" si="27"/>
        <v>2</v>
      </c>
      <c r="Q616" s="22">
        <f t="shared" si="28"/>
        <v>1810</v>
      </c>
      <c r="R616" s="22">
        <f t="shared" si="29"/>
        <v>1811</v>
      </c>
    </row>
    <row r="617" spans="1:18" x14ac:dyDescent="0.2">
      <c r="A617" s="567">
        <v>127</v>
      </c>
      <c r="B617" s="568" t="s">
        <v>372</v>
      </c>
      <c r="C617" s="568" t="s">
        <v>381</v>
      </c>
      <c r="D617" s="567">
        <v>199</v>
      </c>
      <c r="E617" s="567">
        <v>20</v>
      </c>
      <c r="F617" s="567">
        <v>20</v>
      </c>
      <c r="G617" s="567">
        <v>128</v>
      </c>
      <c r="H617" s="567">
        <v>1121</v>
      </c>
      <c r="O617" s="568" t="s">
        <v>1914</v>
      </c>
      <c r="P617" s="22">
        <f t="shared" si="27"/>
        <v>4</v>
      </c>
      <c r="Q617" s="22">
        <f t="shared" si="28"/>
        <v>1812</v>
      </c>
      <c r="R617" s="22">
        <f t="shared" si="29"/>
        <v>1815</v>
      </c>
    </row>
    <row r="618" spans="1:18" x14ac:dyDescent="0.2">
      <c r="A618" s="567">
        <v>129</v>
      </c>
      <c r="B618" s="568" t="s">
        <v>372</v>
      </c>
      <c r="C618" s="568" t="s">
        <v>396</v>
      </c>
      <c r="D618" s="567">
        <v>201</v>
      </c>
      <c r="E618" s="567">
        <v>20</v>
      </c>
      <c r="F618" s="567">
        <v>20</v>
      </c>
      <c r="G618" s="567">
        <v>128</v>
      </c>
      <c r="H618" s="567">
        <v>1121</v>
      </c>
      <c r="O618" s="568" t="s">
        <v>3162</v>
      </c>
      <c r="P618" s="22">
        <f t="shared" si="27"/>
        <v>3</v>
      </c>
      <c r="Q618" s="22">
        <f t="shared" si="28"/>
        <v>1816</v>
      </c>
      <c r="R618" s="22">
        <f t="shared" si="29"/>
        <v>1818</v>
      </c>
    </row>
    <row r="619" spans="1:18" x14ac:dyDescent="0.2">
      <c r="A619" s="567">
        <v>121</v>
      </c>
      <c r="B619" s="568" t="s">
        <v>372</v>
      </c>
      <c r="C619" s="568" t="s">
        <v>397</v>
      </c>
      <c r="D619" s="567">
        <v>193</v>
      </c>
      <c r="E619" s="567">
        <v>20</v>
      </c>
      <c r="F619" s="567">
        <v>20</v>
      </c>
      <c r="G619" s="567">
        <v>128</v>
      </c>
      <c r="H619" s="567">
        <v>1121</v>
      </c>
      <c r="O619" s="568" t="s">
        <v>732</v>
      </c>
      <c r="P619" s="22">
        <f t="shared" si="27"/>
        <v>1</v>
      </c>
      <c r="Q619" s="22">
        <f t="shared" si="28"/>
        <v>1819</v>
      </c>
      <c r="R619" s="22">
        <f t="shared" si="29"/>
        <v>1819</v>
      </c>
    </row>
    <row r="620" spans="1:18" x14ac:dyDescent="0.2">
      <c r="A620" s="567">
        <v>120</v>
      </c>
      <c r="B620" s="568" t="s">
        <v>372</v>
      </c>
      <c r="C620" s="568" t="s">
        <v>404</v>
      </c>
      <c r="D620" s="567">
        <v>192</v>
      </c>
      <c r="E620" s="567">
        <v>20</v>
      </c>
      <c r="F620" s="567">
        <v>20</v>
      </c>
      <c r="G620" s="567">
        <v>128</v>
      </c>
      <c r="H620" s="567">
        <v>1121</v>
      </c>
      <c r="O620" s="568" t="s">
        <v>1324</v>
      </c>
      <c r="P620" s="22">
        <f t="shared" si="27"/>
        <v>3</v>
      </c>
      <c r="Q620" s="22">
        <f t="shared" si="28"/>
        <v>1820</v>
      </c>
      <c r="R620" s="22">
        <f t="shared" si="29"/>
        <v>1822</v>
      </c>
    </row>
    <row r="621" spans="1:18" x14ac:dyDescent="0.2">
      <c r="A621" s="567">
        <v>118</v>
      </c>
      <c r="B621" s="568" t="s">
        <v>372</v>
      </c>
      <c r="C621" s="568" t="s">
        <v>372</v>
      </c>
      <c r="D621" s="567">
        <v>190</v>
      </c>
      <c r="E621" s="567">
        <v>20</v>
      </c>
      <c r="F621" s="567">
        <v>20</v>
      </c>
      <c r="G621" s="567">
        <v>128</v>
      </c>
      <c r="H621" s="567">
        <v>1121</v>
      </c>
      <c r="O621" s="568" t="s">
        <v>2773</v>
      </c>
      <c r="P621" s="22">
        <f t="shared" si="27"/>
        <v>4</v>
      </c>
      <c r="Q621" s="22">
        <f t="shared" si="28"/>
        <v>1823</v>
      </c>
      <c r="R621" s="22">
        <f t="shared" si="29"/>
        <v>1826</v>
      </c>
    </row>
    <row r="622" spans="1:18" x14ac:dyDescent="0.2">
      <c r="A622" s="567">
        <v>119</v>
      </c>
      <c r="B622" s="568" t="s">
        <v>372</v>
      </c>
      <c r="C622" s="568" t="s">
        <v>407</v>
      </c>
      <c r="D622" s="567">
        <v>191</v>
      </c>
      <c r="E622" s="567">
        <v>20</v>
      </c>
      <c r="F622" s="567">
        <v>20</v>
      </c>
      <c r="G622" s="567">
        <v>128</v>
      </c>
      <c r="H622" s="567">
        <v>1121</v>
      </c>
      <c r="O622" s="568" t="s">
        <v>627</v>
      </c>
      <c r="P622" s="22">
        <f t="shared" si="27"/>
        <v>1</v>
      </c>
      <c r="Q622" s="22">
        <f t="shared" si="28"/>
        <v>1827</v>
      </c>
      <c r="R622" s="22">
        <f t="shared" si="29"/>
        <v>1827</v>
      </c>
    </row>
    <row r="623" spans="1:18" x14ac:dyDescent="0.2">
      <c r="A623" s="567">
        <v>2374</v>
      </c>
      <c r="B623" s="568" t="s">
        <v>2581</v>
      </c>
      <c r="C623" s="568" t="s">
        <v>2580</v>
      </c>
      <c r="D623" s="567">
        <v>6833</v>
      </c>
      <c r="E623" s="567">
        <v>27</v>
      </c>
      <c r="F623" s="567">
        <v>6</v>
      </c>
      <c r="G623" s="567">
        <v>337</v>
      </c>
      <c r="H623" s="567">
        <v>3180</v>
      </c>
      <c r="O623" s="568" t="s">
        <v>1433</v>
      </c>
      <c r="P623" s="22">
        <f t="shared" si="27"/>
        <v>1</v>
      </c>
      <c r="Q623" s="22">
        <f t="shared" si="28"/>
        <v>1828</v>
      </c>
      <c r="R623" s="22">
        <f t="shared" si="29"/>
        <v>1828</v>
      </c>
    </row>
    <row r="624" spans="1:18" x14ac:dyDescent="0.2">
      <c r="A624" s="567">
        <v>2371</v>
      </c>
      <c r="B624" s="568" t="s">
        <v>2581</v>
      </c>
      <c r="C624" s="568" t="s">
        <v>2586</v>
      </c>
      <c r="D624" s="567">
        <v>6830</v>
      </c>
      <c r="E624" s="567">
        <v>27</v>
      </c>
      <c r="F624" s="567">
        <v>6</v>
      </c>
      <c r="G624" s="567">
        <v>337</v>
      </c>
      <c r="H624" s="567">
        <v>3180</v>
      </c>
      <c r="O624" s="568" t="s">
        <v>1634</v>
      </c>
      <c r="P624" s="22">
        <f t="shared" si="27"/>
        <v>3</v>
      </c>
      <c r="Q624" s="22">
        <f t="shared" si="28"/>
        <v>1829</v>
      </c>
      <c r="R624" s="22">
        <f t="shared" si="29"/>
        <v>1831</v>
      </c>
    </row>
    <row r="625" spans="1:18" x14ac:dyDescent="0.2">
      <c r="A625" s="567">
        <v>2373</v>
      </c>
      <c r="B625" s="568" t="s">
        <v>2581</v>
      </c>
      <c r="C625" s="568" t="s">
        <v>2587</v>
      </c>
      <c r="D625" s="567">
        <v>6832</v>
      </c>
      <c r="E625" s="567">
        <v>27</v>
      </c>
      <c r="F625" s="567">
        <v>6</v>
      </c>
      <c r="G625" s="567">
        <v>337</v>
      </c>
      <c r="H625" s="567">
        <v>3180</v>
      </c>
      <c r="O625" s="568" t="s">
        <v>2026</v>
      </c>
      <c r="P625" s="22">
        <f t="shared" si="27"/>
        <v>1</v>
      </c>
      <c r="Q625" s="22">
        <f t="shared" si="28"/>
        <v>1832</v>
      </c>
      <c r="R625" s="22">
        <f t="shared" si="29"/>
        <v>1832</v>
      </c>
    </row>
    <row r="626" spans="1:18" x14ac:dyDescent="0.2">
      <c r="A626" s="567">
        <v>2372</v>
      </c>
      <c r="B626" s="568" t="s">
        <v>2581</v>
      </c>
      <c r="C626" s="568" t="s">
        <v>2595</v>
      </c>
      <c r="D626" s="567">
        <v>6831</v>
      </c>
      <c r="E626" s="567">
        <v>27</v>
      </c>
      <c r="F626" s="567">
        <v>6</v>
      </c>
      <c r="G626" s="567">
        <v>337</v>
      </c>
      <c r="H626" s="567">
        <v>3180</v>
      </c>
      <c r="O626" s="568" t="s">
        <v>3144</v>
      </c>
      <c r="P626" s="22">
        <f t="shared" si="27"/>
        <v>2</v>
      </c>
      <c r="Q626" s="22">
        <f t="shared" si="28"/>
        <v>1833</v>
      </c>
      <c r="R626" s="22">
        <f t="shared" si="29"/>
        <v>1834</v>
      </c>
    </row>
    <row r="627" spans="1:18" x14ac:dyDescent="0.2">
      <c r="A627" s="567">
        <v>3366</v>
      </c>
      <c r="B627" s="568" t="s">
        <v>3169</v>
      </c>
      <c r="C627" s="568" t="s">
        <v>3169</v>
      </c>
      <c r="D627" s="567">
        <v>9840</v>
      </c>
      <c r="E627" s="567">
        <v>10</v>
      </c>
      <c r="F627" s="567">
        <v>4</v>
      </c>
      <c r="G627" s="567">
        <v>435</v>
      </c>
      <c r="H627" s="567">
        <v>4160</v>
      </c>
      <c r="O627" s="568" t="s">
        <v>1434</v>
      </c>
      <c r="P627" s="22">
        <f t="shared" si="27"/>
        <v>2</v>
      </c>
      <c r="Q627" s="22">
        <f t="shared" si="28"/>
        <v>1835</v>
      </c>
      <c r="R627" s="22">
        <f t="shared" si="29"/>
        <v>1836</v>
      </c>
    </row>
    <row r="628" spans="1:18" x14ac:dyDescent="0.2">
      <c r="A628" s="567">
        <v>2111</v>
      </c>
      <c r="B628" s="568" t="s">
        <v>1741</v>
      </c>
      <c r="C628" s="568" t="s">
        <v>1741</v>
      </c>
      <c r="D628" s="567">
        <v>6045</v>
      </c>
      <c r="E628" s="567">
        <v>10</v>
      </c>
      <c r="F628" s="567">
        <v>8</v>
      </c>
      <c r="G628" s="567">
        <v>326</v>
      </c>
      <c r="H628" s="567">
        <v>3100</v>
      </c>
      <c r="O628" s="568" t="s">
        <v>3164</v>
      </c>
      <c r="P628" s="22">
        <f t="shared" si="27"/>
        <v>2</v>
      </c>
      <c r="Q628" s="22">
        <f t="shared" si="28"/>
        <v>1837</v>
      </c>
      <c r="R628" s="22">
        <f t="shared" si="29"/>
        <v>1838</v>
      </c>
    </row>
    <row r="629" spans="1:18" x14ac:dyDescent="0.2">
      <c r="A629" s="567">
        <v>2801</v>
      </c>
      <c r="B629" s="568" t="s">
        <v>2618</v>
      </c>
      <c r="C629" s="568" t="s">
        <v>2618</v>
      </c>
      <c r="D629" s="567">
        <v>8020</v>
      </c>
      <c r="E629" s="567">
        <v>14</v>
      </c>
      <c r="F629" s="567">
        <v>17</v>
      </c>
      <c r="G629" s="567">
        <v>417</v>
      </c>
      <c r="H629" s="567">
        <v>4100</v>
      </c>
      <c r="O629" s="568" t="s">
        <v>2897</v>
      </c>
      <c r="P629" s="22">
        <f t="shared" si="27"/>
        <v>1</v>
      </c>
      <c r="Q629" s="22">
        <f t="shared" si="28"/>
        <v>1839</v>
      </c>
      <c r="R629" s="22">
        <f t="shared" si="29"/>
        <v>1839</v>
      </c>
    </row>
    <row r="630" spans="1:18" x14ac:dyDescent="0.2">
      <c r="A630" s="567">
        <v>716</v>
      </c>
      <c r="B630" s="568" t="s">
        <v>699</v>
      </c>
      <c r="C630" s="568" t="s">
        <v>699</v>
      </c>
      <c r="D630" s="567">
        <v>1625</v>
      </c>
      <c r="E630" s="567">
        <v>10</v>
      </c>
      <c r="F630" s="567">
        <v>17</v>
      </c>
      <c r="G630" s="567">
        <v>115</v>
      </c>
      <c r="H630" s="567">
        <v>1161</v>
      </c>
      <c r="O630" s="568" t="s">
        <v>2118</v>
      </c>
      <c r="P630" s="22">
        <f t="shared" si="27"/>
        <v>2</v>
      </c>
      <c r="Q630" s="22">
        <f t="shared" si="28"/>
        <v>1840</v>
      </c>
      <c r="R630" s="22">
        <f t="shared" si="29"/>
        <v>1841</v>
      </c>
    </row>
    <row r="631" spans="1:18" x14ac:dyDescent="0.2">
      <c r="A631" s="567">
        <v>3353</v>
      </c>
      <c r="B631" s="568" t="s">
        <v>3133</v>
      </c>
      <c r="C631" s="568" t="s">
        <v>3132</v>
      </c>
      <c r="D631" s="567">
        <v>9782</v>
      </c>
      <c r="E631" s="567">
        <v>67</v>
      </c>
      <c r="F631" s="567">
        <v>11</v>
      </c>
      <c r="G631" s="567">
        <v>435</v>
      </c>
      <c r="H631" s="567">
        <v>4160</v>
      </c>
      <c r="O631" s="568" t="s">
        <v>1943</v>
      </c>
      <c r="P631" s="22">
        <f t="shared" si="27"/>
        <v>6</v>
      </c>
      <c r="Q631" s="22">
        <f t="shared" si="28"/>
        <v>1842</v>
      </c>
      <c r="R631" s="22">
        <f t="shared" si="29"/>
        <v>1847</v>
      </c>
    </row>
    <row r="632" spans="1:18" x14ac:dyDescent="0.2">
      <c r="A632" s="567">
        <v>3352</v>
      </c>
      <c r="B632" s="568" t="s">
        <v>3133</v>
      </c>
      <c r="C632" s="568" t="s">
        <v>3158</v>
      </c>
      <c r="D632" s="567">
        <v>9781</v>
      </c>
      <c r="E632" s="567">
        <v>67</v>
      </c>
      <c r="F632" s="567">
        <v>11</v>
      </c>
      <c r="G632" s="567">
        <v>435</v>
      </c>
      <c r="H632" s="567">
        <v>4160</v>
      </c>
      <c r="O632" s="568" t="s">
        <v>1953</v>
      </c>
      <c r="P632" s="22">
        <f t="shared" si="27"/>
        <v>1</v>
      </c>
      <c r="Q632" s="22">
        <f t="shared" si="28"/>
        <v>1848</v>
      </c>
      <c r="R632" s="22">
        <f t="shared" si="29"/>
        <v>1848</v>
      </c>
    </row>
    <row r="633" spans="1:18" x14ac:dyDescent="0.2">
      <c r="A633" s="567">
        <v>3351</v>
      </c>
      <c r="B633" s="568" t="s">
        <v>3133</v>
      </c>
      <c r="C633" s="568" t="s">
        <v>3159</v>
      </c>
      <c r="D633" s="567">
        <v>9780</v>
      </c>
      <c r="E633" s="567">
        <v>67</v>
      </c>
      <c r="F633" s="567">
        <v>11</v>
      </c>
      <c r="G633" s="567">
        <v>435</v>
      </c>
      <c r="H633" s="567">
        <v>4160</v>
      </c>
      <c r="O633" s="568" t="s">
        <v>662</v>
      </c>
      <c r="P633" s="22">
        <f t="shared" si="27"/>
        <v>1</v>
      </c>
      <c r="Q633" s="22">
        <f t="shared" si="28"/>
        <v>1849</v>
      </c>
      <c r="R633" s="22">
        <f t="shared" si="29"/>
        <v>1849</v>
      </c>
    </row>
    <row r="634" spans="1:18" x14ac:dyDescent="0.2">
      <c r="A634" s="567">
        <v>3355</v>
      </c>
      <c r="B634" s="568" t="s">
        <v>3133</v>
      </c>
      <c r="C634" s="568" t="s">
        <v>3165</v>
      </c>
      <c r="D634" s="567">
        <v>9784</v>
      </c>
      <c r="E634" s="567">
        <v>67</v>
      </c>
      <c r="F634" s="567">
        <v>11</v>
      </c>
      <c r="G634" s="567">
        <v>435</v>
      </c>
      <c r="H634" s="567">
        <v>4160</v>
      </c>
      <c r="O634" s="568" t="s">
        <v>1939</v>
      </c>
      <c r="P634" s="22">
        <f t="shared" si="27"/>
        <v>1</v>
      </c>
      <c r="Q634" s="22">
        <f t="shared" si="28"/>
        <v>1850</v>
      </c>
      <c r="R634" s="22">
        <f t="shared" si="29"/>
        <v>1850</v>
      </c>
    </row>
    <row r="635" spans="1:18" x14ac:dyDescent="0.2">
      <c r="A635" s="567">
        <v>3354</v>
      </c>
      <c r="B635" s="568" t="s">
        <v>3133</v>
      </c>
      <c r="C635" s="568" t="s">
        <v>3167</v>
      </c>
      <c r="D635" s="567">
        <v>9783</v>
      </c>
      <c r="E635" s="567">
        <v>67</v>
      </c>
      <c r="F635" s="567">
        <v>11</v>
      </c>
      <c r="G635" s="567">
        <v>435</v>
      </c>
      <c r="H635" s="567">
        <v>4160</v>
      </c>
      <c r="O635" s="568" t="s">
        <v>3020</v>
      </c>
      <c r="P635" s="22">
        <f t="shared" si="27"/>
        <v>9</v>
      </c>
      <c r="Q635" s="22">
        <f t="shared" si="28"/>
        <v>1851</v>
      </c>
      <c r="R635" s="22">
        <f t="shared" si="29"/>
        <v>1859</v>
      </c>
    </row>
    <row r="636" spans="1:18" x14ac:dyDescent="0.2">
      <c r="A636" s="567">
        <v>3356</v>
      </c>
      <c r="B636" s="568" t="s">
        <v>3133</v>
      </c>
      <c r="C636" s="568" t="s">
        <v>3176</v>
      </c>
      <c r="D636" s="567">
        <v>9785</v>
      </c>
      <c r="E636" s="567">
        <v>67</v>
      </c>
      <c r="F636" s="567">
        <v>11</v>
      </c>
      <c r="G636" s="567">
        <v>435</v>
      </c>
      <c r="H636" s="567">
        <v>4160</v>
      </c>
      <c r="O636" s="568" t="s">
        <v>2616</v>
      </c>
      <c r="P636" s="22">
        <f t="shared" si="27"/>
        <v>7</v>
      </c>
      <c r="Q636" s="22">
        <f t="shared" si="28"/>
        <v>1860</v>
      </c>
      <c r="R636" s="22">
        <f t="shared" si="29"/>
        <v>1866</v>
      </c>
    </row>
    <row r="637" spans="1:18" x14ac:dyDescent="0.2">
      <c r="A637" s="567">
        <v>864</v>
      </c>
      <c r="B637" s="568" t="s">
        <v>438</v>
      </c>
      <c r="C637" s="568" t="s">
        <v>438</v>
      </c>
      <c r="D637" s="567">
        <v>2180</v>
      </c>
      <c r="E637" s="567">
        <v>14</v>
      </c>
      <c r="F637" s="567">
        <v>14</v>
      </c>
      <c r="G637" s="567">
        <v>117</v>
      </c>
      <c r="H637" s="567">
        <v>1130</v>
      </c>
      <c r="O637" s="568" t="s">
        <v>2959</v>
      </c>
      <c r="P637" s="22">
        <f t="shared" si="27"/>
        <v>3</v>
      </c>
      <c r="Q637" s="22">
        <f t="shared" si="28"/>
        <v>1867</v>
      </c>
      <c r="R637" s="22">
        <f t="shared" si="29"/>
        <v>1869</v>
      </c>
    </row>
    <row r="638" spans="1:18" x14ac:dyDescent="0.2">
      <c r="A638" s="567">
        <v>865</v>
      </c>
      <c r="B638" s="568" t="s">
        <v>438</v>
      </c>
      <c r="C638" s="568" t="s">
        <v>439</v>
      </c>
      <c r="D638" s="567">
        <v>2181</v>
      </c>
      <c r="E638" s="567">
        <v>14</v>
      </c>
      <c r="F638" s="567">
        <v>14</v>
      </c>
      <c r="G638" s="567">
        <v>117</v>
      </c>
      <c r="H638" s="567">
        <v>1130</v>
      </c>
      <c r="O638" s="568" t="s">
        <v>1071</v>
      </c>
      <c r="P638" s="22">
        <f t="shared" si="27"/>
        <v>1</v>
      </c>
      <c r="Q638" s="22">
        <f t="shared" si="28"/>
        <v>1870</v>
      </c>
      <c r="R638" s="22">
        <f t="shared" si="29"/>
        <v>1870</v>
      </c>
    </row>
    <row r="639" spans="1:18" x14ac:dyDescent="0.2">
      <c r="A639" s="567">
        <v>2173</v>
      </c>
      <c r="B639" s="568" t="s">
        <v>2425</v>
      </c>
      <c r="C639" s="568" t="s">
        <v>2425</v>
      </c>
      <c r="D639" s="567">
        <v>6210</v>
      </c>
      <c r="E639" s="567">
        <v>9</v>
      </c>
      <c r="F639" s="567">
        <v>15</v>
      </c>
      <c r="G639" s="567">
        <v>327</v>
      </c>
      <c r="H639" s="567">
        <v>3170</v>
      </c>
      <c r="O639" s="568" t="s">
        <v>1069</v>
      </c>
      <c r="P639" s="22">
        <f t="shared" si="27"/>
        <v>2</v>
      </c>
      <c r="Q639" s="22">
        <f t="shared" si="28"/>
        <v>1871</v>
      </c>
      <c r="R639" s="22">
        <f t="shared" si="29"/>
        <v>1872</v>
      </c>
    </row>
    <row r="640" spans="1:18" x14ac:dyDescent="0.2">
      <c r="A640" s="567">
        <v>2087</v>
      </c>
      <c r="B640" s="568" t="s">
        <v>2356</v>
      </c>
      <c r="C640" s="568" t="s">
        <v>2356</v>
      </c>
      <c r="D640" s="567">
        <v>5955</v>
      </c>
      <c r="E640" s="567">
        <v>72</v>
      </c>
      <c r="F640" s="567">
        <v>8</v>
      </c>
      <c r="G640" s="567">
        <v>325</v>
      </c>
      <c r="H640" s="567">
        <v>3160</v>
      </c>
      <c r="O640" s="568" t="s">
        <v>2704</v>
      </c>
      <c r="P640" s="22">
        <f t="shared" si="27"/>
        <v>3</v>
      </c>
      <c r="Q640" s="22">
        <f t="shared" si="28"/>
        <v>1873</v>
      </c>
      <c r="R640" s="22">
        <f t="shared" si="29"/>
        <v>1875</v>
      </c>
    </row>
    <row r="641" spans="1:18" x14ac:dyDescent="0.2">
      <c r="A641" s="567">
        <v>2088</v>
      </c>
      <c r="B641" s="568" t="s">
        <v>2356</v>
      </c>
      <c r="C641" s="568" t="s">
        <v>611</v>
      </c>
      <c r="D641" s="567">
        <v>5956</v>
      </c>
      <c r="E641" s="567">
        <v>72</v>
      </c>
      <c r="F641" s="567">
        <v>8</v>
      </c>
      <c r="G641" s="567">
        <v>325</v>
      </c>
      <c r="H641" s="567">
        <v>3160</v>
      </c>
      <c r="O641" s="568" t="s">
        <v>2775</v>
      </c>
      <c r="P641" s="22">
        <f t="shared" si="27"/>
        <v>2</v>
      </c>
      <c r="Q641" s="22">
        <f t="shared" si="28"/>
        <v>1876</v>
      </c>
      <c r="R641" s="22">
        <f t="shared" si="29"/>
        <v>1877</v>
      </c>
    </row>
    <row r="642" spans="1:18" x14ac:dyDescent="0.2">
      <c r="A642" s="567">
        <v>744</v>
      </c>
      <c r="B642" s="568" t="s">
        <v>857</v>
      </c>
      <c r="C642" s="568" t="s">
        <v>857</v>
      </c>
      <c r="D642" s="567">
        <v>1740</v>
      </c>
      <c r="E642" s="567">
        <v>14</v>
      </c>
      <c r="F642" s="567">
        <v>2</v>
      </c>
      <c r="G642" s="567">
        <v>116</v>
      </c>
      <c r="H642" s="567">
        <v>1180</v>
      </c>
      <c r="O642" s="568" t="s">
        <v>567</v>
      </c>
      <c r="P642" s="22">
        <f t="shared" si="27"/>
        <v>5</v>
      </c>
      <c r="Q642" s="22">
        <f t="shared" si="28"/>
        <v>1878</v>
      </c>
      <c r="R642" s="22">
        <f t="shared" si="29"/>
        <v>1882</v>
      </c>
    </row>
    <row r="643" spans="1:18" x14ac:dyDescent="0.2">
      <c r="A643" s="567">
        <v>749</v>
      </c>
      <c r="B643" s="568" t="s">
        <v>874</v>
      </c>
      <c r="C643" s="568" t="s">
        <v>874</v>
      </c>
      <c r="D643" s="567">
        <v>1755</v>
      </c>
      <c r="E643" s="567">
        <v>15</v>
      </c>
      <c r="F643" s="567">
        <v>2</v>
      </c>
      <c r="G643" s="567">
        <v>116</v>
      </c>
      <c r="H643" s="567">
        <v>1180</v>
      </c>
      <c r="O643" s="568" t="s">
        <v>112</v>
      </c>
      <c r="P643" s="22">
        <f t="shared" si="27"/>
        <v>1</v>
      </c>
      <c r="Q643" s="22">
        <f t="shared" si="28"/>
        <v>1883</v>
      </c>
      <c r="R643" s="22">
        <f t="shared" si="29"/>
        <v>1883</v>
      </c>
    </row>
    <row r="644" spans="1:18" x14ac:dyDescent="0.2">
      <c r="A644" s="567">
        <v>2181</v>
      </c>
      <c r="B644" s="568" t="s">
        <v>2438</v>
      </c>
      <c r="C644" s="568" t="s">
        <v>2438</v>
      </c>
      <c r="D644" s="567">
        <v>6250</v>
      </c>
      <c r="E644" s="567">
        <v>10</v>
      </c>
      <c r="F644" s="567">
        <v>16</v>
      </c>
      <c r="G644" s="567">
        <v>327</v>
      </c>
      <c r="H644" s="567">
        <v>3170</v>
      </c>
      <c r="O644" s="568" t="s">
        <v>753</v>
      </c>
      <c r="P644" s="22">
        <f t="shared" si="27"/>
        <v>1</v>
      </c>
      <c r="Q644" s="22">
        <f t="shared" si="28"/>
        <v>1884</v>
      </c>
      <c r="R644" s="22">
        <f t="shared" si="29"/>
        <v>1884</v>
      </c>
    </row>
    <row r="645" spans="1:18" x14ac:dyDescent="0.2">
      <c r="A645" s="567">
        <v>1875</v>
      </c>
      <c r="B645" s="568" t="s">
        <v>1828</v>
      </c>
      <c r="C645" s="568" t="s">
        <v>1828</v>
      </c>
      <c r="D645" s="567">
        <v>5235</v>
      </c>
      <c r="E645" s="567">
        <v>9</v>
      </c>
      <c r="F645" s="567">
        <v>3</v>
      </c>
      <c r="G645" s="567">
        <v>316</v>
      </c>
      <c r="H645" s="567">
        <v>3110</v>
      </c>
      <c r="O645" s="568" t="s">
        <v>1740</v>
      </c>
      <c r="P645" s="22">
        <f t="shared" si="27"/>
        <v>1</v>
      </c>
      <c r="Q645" s="22">
        <f t="shared" si="28"/>
        <v>1885</v>
      </c>
      <c r="R645" s="22">
        <f t="shared" si="29"/>
        <v>1885</v>
      </c>
    </row>
    <row r="646" spans="1:18" x14ac:dyDescent="0.2">
      <c r="A646" s="567">
        <v>2576</v>
      </c>
      <c r="B646" s="568" t="s">
        <v>2979</v>
      </c>
      <c r="C646" s="568" t="s">
        <v>2979</v>
      </c>
      <c r="D646" s="567">
        <v>7420</v>
      </c>
      <c r="E646" s="567">
        <v>9</v>
      </c>
      <c r="F646" s="567">
        <v>2</v>
      </c>
      <c r="G646" s="567">
        <v>416</v>
      </c>
      <c r="H646" s="567">
        <v>4140</v>
      </c>
      <c r="O646" s="568" t="s">
        <v>1577</v>
      </c>
      <c r="P646" s="22">
        <f t="shared" si="27"/>
        <v>1</v>
      </c>
      <c r="Q646" s="22">
        <f t="shared" si="28"/>
        <v>1886</v>
      </c>
      <c r="R646" s="22">
        <f t="shared" si="29"/>
        <v>1886</v>
      </c>
    </row>
    <row r="647" spans="1:18" x14ac:dyDescent="0.2">
      <c r="A647" s="567">
        <v>1256</v>
      </c>
      <c r="B647" s="568" t="s">
        <v>1298</v>
      </c>
      <c r="C647" s="568" t="s">
        <v>1297</v>
      </c>
      <c r="D647" s="567">
        <v>3400</v>
      </c>
      <c r="E647" s="567">
        <v>111</v>
      </c>
      <c r="F647" s="567">
        <v>3</v>
      </c>
      <c r="G647" s="567">
        <v>215</v>
      </c>
      <c r="H647" s="567">
        <v>2121</v>
      </c>
      <c r="O647" s="568" t="s">
        <v>1125</v>
      </c>
      <c r="P647" s="22">
        <f t="shared" si="27"/>
        <v>4</v>
      </c>
      <c r="Q647" s="22">
        <f t="shared" si="28"/>
        <v>1887</v>
      </c>
      <c r="R647" s="22">
        <f t="shared" si="29"/>
        <v>1890</v>
      </c>
    </row>
    <row r="648" spans="1:18" x14ac:dyDescent="0.2">
      <c r="A648" s="567">
        <v>1257</v>
      </c>
      <c r="B648" s="568" t="s">
        <v>1298</v>
      </c>
      <c r="C648" s="568" t="s">
        <v>1299</v>
      </c>
      <c r="D648" s="567">
        <v>3401</v>
      </c>
      <c r="E648" s="567">
        <v>111</v>
      </c>
      <c r="F648" s="567">
        <v>3</v>
      </c>
      <c r="G648" s="567">
        <v>215</v>
      </c>
      <c r="H648" s="567">
        <v>2121</v>
      </c>
      <c r="O648" s="568" t="s">
        <v>2722</v>
      </c>
      <c r="P648" s="22">
        <f t="shared" si="27"/>
        <v>1</v>
      </c>
      <c r="Q648" s="22">
        <f t="shared" si="28"/>
        <v>1891</v>
      </c>
      <c r="R648" s="22">
        <f t="shared" si="29"/>
        <v>1891</v>
      </c>
    </row>
    <row r="649" spans="1:18" x14ac:dyDescent="0.2">
      <c r="A649" s="567">
        <v>2422</v>
      </c>
      <c r="B649" s="568" t="s">
        <v>2468</v>
      </c>
      <c r="C649" s="568" t="s">
        <v>2468</v>
      </c>
      <c r="D649" s="567">
        <v>6960</v>
      </c>
      <c r="E649" s="567">
        <v>30</v>
      </c>
      <c r="F649" s="567">
        <v>3</v>
      </c>
      <c r="G649" s="567">
        <v>337</v>
      </c>
      <c r="H649" s="567">
        <v>3180</v>
      </c>
      <c r="O649" s="568" t="s">
        <v>1495</v>
      </c>
      <c r="P649" s="22">
        <f t="shared" si="27"/>
        <v>6</v>
      </c>
      <c r="Q649" s="22">
        <f t="shared" si="28"/>
        <v>1892</v>
      </c>
      <c r="R649" s="22">
        <f t="shared" si="29"/>
        <v>1897</v>
      </c>
    </row>
    <row r="650" spans="1:18" x14ac:dyDescent="0.2">
      <c r="A650" s="567">
        <v>2423</v>
      </c>
      <c r="B650" s="568" t="s">
        <v>2468</v>
      </c>
      <c r="C650" s="568" t="s">
        <v>2469</v>
      </c>
      <c r="D650" s="567">
        <v>6961</v>
      </c>
      <c r="E650" s="567">
        <v>30</v>
      </c>
      <c r="F650" s="567">
        <v>3</v>
      </c>
      <c r="G650" s="567">
        <v>337</v>
      </c>
      <c r="H650" s="567">
        <v>3180</v>
      </c>
      <c r="O650" s="568" t="s">
        <v>2995</v>
      </c>
      <c r="P650" s="22">
        <f t="shared" si="27"/>
        <v>3</v>
      </c>
      <c r="Q650" s="22">
        <f t="shared" si="28"/>
        <v>1898</v>
      </c>
      <c r="R650" s="22">
        <f t="shared" si="29"/>
        <v>1900</v>
      </c>
    </row>
    <row r="651" spans="1:18" x14ac:dyDescent="0.2">
      <c r="A651" s="567">
        <v>2424</v>
      </c>
      <c r="B651" s="568" t="s">
        <v>2468</v>
      </c>
      <c r="C651" s="568" t="s">
        <v>556</v>
      </c>
      <c r="D651" s="567">
        <v>6962</v>
      </c>
      <c r="E651" s="567">
        <v>30</v>
      </c>
      <c r="F651" s="567">
        <v>3</v>
      </c>
      <c r="G651" s="567">
        <v>337</v>
      </c>
      <c r="H651" s="567">
        <v>3180</v>
      </c>
      <c r="O651" s="568" t="s">
        <v>675</v>
      </c>
      <c r="P651" s="22">
        <f t="shared" si="27"/>
        <v>1</v>
      </c>
      <c r="Q651" s="22">
        <f t="shared" si="28"/>
        <v>1901</v>
      </c>
      <c r="R651" s="22">
        <f t="shared" si="29"/>
        <v>1901</v>
      </c>
    </row>
    <row r="652" spans="1:18" x14ac:dyDescent="0.2">
      <c r="A652" s="567">
        <v>2647</v>
      </c>
      <c r="B652" s="568" t="s">
        <v>2961</v>
      </c>
      <c r="C652" s="568" t="s">
        <v>488</v>
      </c>
      <c r="D652" s="567">
        <v>7630</v>
      </c>
      <c r="E652" s="567">
        <v>14</v>
      </c>
      <c r="F652" s="567">
        <v>18</v>
      </c>
      <c r="G652" s="567">
        <v>415</v>
      </c>
      <c r="H652" s="567">
        <v>4131</v>
      </c>
      <c r="O652" s="568" t="s">
        <v>1518</v>
      </c>
      <c r="P652" s="22">
        <f t="shared" si="27"/>
        <v>9</v>
      </c>
      <c r="Q652" s="22">
        <f t="shared" si="28"/>
        <v>1902</v>
      </c>
      <c r="R652" s="22">
        <f t="shared" si="29"/>
        <v>1910</v>
      </c>
    </row>
    <row r="653" spans="1:18" x14ac:dyDescent="0.2">
      <c r="A653" s="567">
        <v>3081</v>
      </c>
      <c r="B653" s="568" t="s">
        <v>2747</v>
      </c>
      <c r="C653" s="568" t="s">
        <v>488</v>
      </c>
      <c r="D653" s="567">
        <v>8905</v>
      </c>
      <c r="E653" s="567">
        <v>31</v>
      </c>
      <c r="F653" s="567">
        <v>12</v>
      </c>
      <c r="G653" s="567">
        <v>426</v>
      </c>
      <c r="H653" s="567">
        <v>4110</v>
      </c>
      <c r="O653" s="568" t="s">
        <v>1140</v>
      </c>
      <c r="P653" s="22">
        <f t="shared" si="27"/>
        <v>1</v>
      </c>
      <c r="Q653" s="22">
        <f t="shared" si="28"/>
        <v>1911</v>
      </c>
      <c r="R653" s="22">
        <f t="shared" si="29"/>
        <v>1911</v>
      </c>
    </row>
    <row r="654" spans="1:18" x14ac:dyDescent="0.2">
      <c r="A654" s="567">
        <v>768</v>
      </c>
      <c r="B654" s="568" t="s">
        <v>827</v>
      </c>
      <c r="C654" s="568" t="s">
        <v>488</v>
      </c>
      <c r="D654" s="567">
        <v>1820</v>
      </c>
      <c r="E654" s="567">
        <v>16</v>
      </c>
      <c r="F654" s="567">
        <v>18</v>
      </c>
      <c r="G654" s="567">
        <v>116</v>
      </c>
      <c r="H654" s="567">
        <v>1180</v>
      </c>
      <c r="O654" s="568" t="s">
        <v>1617</v>
      </c>
      <c r="P654" s="22">
        <f t="shared" si="27"/>
        <v>6</v>
      </c>
      <c r="Q654" s="22">
        <f t="shared" si="28"/>
        <v>1912</v>
      </c>
      <c r="R654" s="22">
        <f t="shared" si="29"/>
        <v>1917</v>
      </c>
    </row>
    <row r="655" spans="1:18" x14ac:dyDescent="0.2">
      <c r="A655" s="567">
        <v>1203</v>
      </c>
      <c r="B655" s="568" t="s">
        <v>1450</v>
      </c>
      <c r="C655" s="568" t="s">
        <v>1450</v>
      </c>
      <c r="D655" s="567">
        <v>3210</v>
      </c>
      <c r="E655" s="567">
        <v>10</v>
      </c>
      <c r="F655" s="567">
        <v>2</v>
      </c>
      <c r="G655" s="567">
        <v>226</v>
      </c>
      <c r="H655" s="567">
        <v>2130</v>
      </c>
      <c r="O655" s="568" t="s">
        <v>2162</v>
      </c>
      <c r="P655" s="22">
        <f t="shared" ref="P655:P718" si="30">COUNTIF($B$13:$B$3400,O655)</f>
        <v>1</v>
      </c>
      <c r="Q655" s="22">
        <f t="shared" si="28"/>
        <v>1918</v>
      </c>
      <c r="R655" s="22">
        <f t="shared" si="29"/>
        <v>1918</v>
      </c>
    </row>
    <row r="656" spans="1:18" x14ac:dyDescent="0.2">
      <c r="A656" s="567">
        <v>1204</v>
      </c>
      <c r="B656" s="568" t="s">
        <v>1450</v>
      </c>
      <c r="C656" s="568" t="s">
        <v>1451</v>
      </c>
      <c r="D656" s="567">
        <v>3211</v>
      </c>
      <c r="E656" s="567">
        <v>10</v>
      </c>
      <c r="F656" s="567">
        <v>2</v>
      </c>
      <c r="G656" s="567">
        <v>226</v>
      </c>
      <c r="H656" s="567">
        <v>2130</v>
      </c>
      <c r="O656" s="568" t="s">
        <v>445</v>
      </c>
      <c r="P656" s="22">
        <f t="shared" si="30"/>
        <v>3</v>
      </c>
      <c r="Q656" s="22">
        <f t="shared" si="28"/>
        <v>1919</v>
      </c>
      <c r="R656" s="22">
        <f t="shared" si="29"/>
        <v>1921</v>
      </c>
    </row>
    <row r="657" spans="1:18" x14ac:dyDescent="0.2">
      <c r="A657" s="567">
        <v>2937</v>
      </c>
      <c r="B657" s="568" t="s">
        <v>3281</v>
      </c>
      <c r="C657" s="568" t="s">
        <v>3280</v>
      </c>
      <c r="D657" s="567">
        <v>8441</v>
      </c>
      <c r="E657" s="567">
        <v>28</v>
      </c>
      <c r="F657" s="567">
        <v>12</v>
      </c>
      <c r="G657" s="567">
        <v>425</v>
      </c>
      <c r="H657" s="567">
        <v>4170</v>
      </c>
      <c r="O657" s="568" t="s">
        <v>446</v>
      </c>
      <c r="P657" s="22">
        <f t="shared" si="30"/>
        <v>1</v>
      </c>
      <c r="Q657" s="22">
        <f t="shared" ref="Q657:Q720" si="31">R656+1</f>
        <v>1922</v>
      </c>
      <c r="R657" s="22">
        <f t="shared" ref="R657:R720" si="32">R656+P657</f>
        <v>1922</v>
      </c>
    </row>
    <row r="658" spans="1:18" x14ac:dyDescent="0.2">
      <c r="A658" s="567">
        <v>2936</v>
      </c>
      <c r="B658" s="568" t="s">
        <v>3281</v>
      </c>
      <c r="C658" s="568" t="s">
        <v>3281</v>
      </c>
      <c r="D658" s="567">
        <v>8440</v>
      </c>
      <c r="E658" s="567">
        <v>28</v>
      </c>
      <c r="F658" s="567">
        <v>12</v>
      </c>
      <c r="G658" s="567">
        <v>425</v>
      </c>
      <c r="H658" s="567">
        <v>4170</v>
      </c>
      <c r="O658" s="568" t="s">
        <v>2278</v>
      </c>
      <c r="P658" s="22">
        <f t="shared" si="30"/>
        <v>2</v>
      </c>
      <c r="Q658" s="22">
        <f t="shared" si="31"/>
        <v>1923</v>
      </c>
      <c r="R658" s="22">
        <f t="shared" si="32"/>
        <v>1924</v>
      </c>
    </row>
    <row r="659" spans="1:18" x14ac:dyDescent="0.2">
      <c r="A659" s="567">
        <v>2073</v>
      </c>
      <c r="B659" s="568" t="s">
        <v>2371</v>
      </c>
      <c r="C659" s="568" t="s">
        <v>2370</v>
      </c>
      <c r="D659" s="567">
        <v>5914</v>
      </c>
      <c r="E659" s="567">
        <v>11</v>
      </c>
      <c r="F659" s="567">
        <v>16</v>
      </c>
      <c r="G659" s="567">
        <v>325</v>
      </c>
      <c r="H659" s="567">
        <v>3160</v>
      </c>
      <c r="O659" s="568" t="s">
        <v>2427</v>
      </c>
      <c r="P659" s="22">
        <f t="shared" si="30"/>
        <v>2</v>
      </c>
      <c r="Q659" s="22">
        <f t="shared" si="31"/>
        <v>1925</v>
      </c>
      <c r="R659" s="22">
        <f t="shared" si="32"/>
        <v>1926</v>
      </c>
    </row>
    <row r="660" spans="1:18" x14ac:dyDescent="0.2">
      <c r="A660" s="567">
        <v>2072</v>
      </c>
      <c r="B660" s="568" t="s">
        <v>2371</v>
      </c>
      <c r="C660" s="568" t="s">
        <v>2377</v>
      </c>
      <c r="D660" s="567">
        <v>5913</v>
      </c>
      <c r="E660" s="567">
        <v>11</v>
      </c>
      <c r="F660" s="567">
        <v>16</v>
      </c>
      <c r="G660" s="567">
        <v>325</v>
      </c>
      <c r="H660" s="567">
        <v>3160</v>
      </c>
      <c r="O660" s="568" t="s">
        <v>2290</v>
      </c>
      <c r="P660" s="22">
        <f t="shared" si="30"/>
        <v>5</v>
      </c>
      <c r="Q660" s="22">
        <f t="shared" si="31"/>
        <v>1927</v>
      </c>
      <c r="R660" s="22">
        <f t="shared" si="32"/>
        <v>1931</v>
      </c>
    </row>
    <row r="661" spans="1:18" x14ac:dyDescent="0.2">
      <c r="A661" s="567">
        <v>2071</v>
      </c>
      <c r="B661" s="568" t="s">
        <v>2371</v>
      </c>
      <c r="C661" s="568" t="s">
        <v>2378</v>
      </c>
      <c r="D661" s="567">
        <v>5912</v>
      </c>
      <c r="E661" s="567">
        <v>11</v>
      </c>
      <c r="F661" s="567">
        <v>16</v>
      </c>
      <c r="G661" s="567">
        <v>325</v>
      </c>
      <c r="H661" s="567">
        <v>3160</v>
      </c>
      <c r="O661" s="568" t="s">
        <v>892</v>
      </c>
      <c r="P661" s="22">
        <f t="shared" si="30"/>
        <v>8</v>
      </c>
      <c r="Q661" s="22">
        <f t="shared" si="31"/>
        <v>1932</v>
      </c>
      <c r="R661" s="22">
        <f t="shared" si="32"/>
        <v>1939</v>
      </c>
    </row>
    <row r="662" spans="1:18" x14ac:dyDescent="0.2">
      <c r="A662" s="567">
        <v>2070</v>
      </c>
      <c r="B662" s="568" t="s">
        <v>2371</v>
      </c>
      <c r="C662" s="568" t="s">
        <v>2324</v>
      </c>
      <c r="D662" s="567">
        <v>5911</v>
      </c>
      <c r="E662" s="567">
        <v>11</v>
      </c>
      <c r="F662" s="567">
        <v>16</v>
      </c>
      <c r="G662" s="567">
        <v>325</v>
      </c>
      <c r="H662" s="567">
        <v>3160</v>
      </c>
      <c r="O662" s="568" t="s">
        <v>1958</v>
      </c>
      <c r="P662" s="22">
        <f t="shared" si="30"/>
        <v>8</v>
      </c>
      <c r="Q662" s="22">
        <f t="shared" si="31"/>
        <v>1940</v>
      </c>
      <c r="R662" s="22">
        <f t="shared" si="32"/>
        <v>1947</v>
      </c>
    </row>
    <row r="663" spans="1:18" x14ac:dyDescent="0.2">
      <c r="A663" s="567">
        <v>2069</v>
      </c>
      <c r="B663" s="568" t="s">
        <v>2371</v>
      </c>
      <c r="C663" s="568" t="s">
        <v>2371</v>
      </c>
      <c r="D663" s="567">
        <v>5910</v>
      </c>
      <c r="E663" s="567">
        <v>11</v>
      </c>
      <c r="F663" s="567">
        <v>16</v>
      </c>
      <c r="G663" s="567">
        <v>325</v>
      </c>
      <c r="H663" s="567">
        <v>3160</v>
      </c>
      <c r="O663" s="568" t="s">
        <v>773</v>
      </c>
      <c r="P663" s="22">
        <f t="shared" si="30"/>
        <v>1</v>
      </c>
      <c r="Q663" s="22">
        <f t="shared" si="31"/>
        <v>1948</v>
      </c>
      <c r="R663" s="22">
        <f t="shared" si="32"/>
        <v>1948</v>
      </c>
    </row>
    <row r="664" spans="1:18" x14ac:dyDescent="0.2">
      <c r="A664" s="567">
        <v>973</v>
      </c>
      <c r="B664" s="568" t="s">
        <v>487</v>
      </c>
      <c r="C664" s="568" t="s">
        <v>487</v>
      </c>
      <c r="D664" s="567">
        <v>2530</v>
      </c>
      <c r="E664" s="567">
        <v>10</v>
      </c>
      <c r="F664" s="567">
        <v>13</v>
      </c>
      <c r="G664" s="567">
        <v>135</v>
      </c>
      <c r="H664" s="567">
        <v>1140</v>
      </c>
      <c r="O664" s="568" t="s">
        <v>3272</v>
      </c>
      <c r="P664" s="22">
        <f t="shared" si="30"/>
        <v>1</v>
      </c>
      <c r="Q664" s="22">
        <f t="shared" si="31"/>
        <v>1949</v>
      </c>
      <c r="R664" s="22">
        <f t="shared" si="32"/>
        <v>1949</v>
      </c>
    </row>
    <row r="665" spans="1:18" x14ac:dyDescent="0.2">
      <c r="A665" s="567">
        <v>975</v>
      </c>
      <c r="B665" s="568" t="s">
        <v>487</v>
      </c>
      <c r="C665" s="568" t="s">
        <v>498</v>
      </c>
      <c r="D665" s="567">
        <v>2532</v>
      </c>
      <c r="E665" s="567">
        <v>10</v>
      </c>
      <c r="F665" s="567">
        <v>13</v>
      </c>
      <c r="G665" s="567">
        <v>135</v>
      </c>
      <c r="H665" s="567">
        <v>1140</v>
      </c>
      <c r="O665" s="568" t="s">
        <v>2881</v>
      </c>
      <c r="P665" s="22">
        <f t="shared" si="30"/>
        <v>13</v>
      </c>
      <c r="Q665" s="22">
        <f t="shared" si="31"/>
        <v>1950</v>
      </c>
      <c r="R665" s="22">
        <f t="shared" si="32"/>
        <v>1962</v>
      </c>
    </row>
    <row r="666" spans="1:18" x14ac:dyDescent="0.2">
      <c r="A666" s="567">
        <v>974</v>
      </c>
      <c r="B666" s="568" t="s">
        <v>487</v>
      </c>
      <c r="C666" s="568" t="s">
        <v>500</v>
      </c>
      <c r="D666" s="567">
        <v>2531</v>
      </c>
      <c r="E666" s="567">
        <v>10</v>
      </c>
      <c r="F666" s="567">
        <v>13</v>
      </c>
      <c r="G666" s="567">
        <v>135</v>
      </c>
      <c r="H666" s="567">
        <v>1140</v>
      </c>
      <c r="O666" s="568" t="s">
        <v>1991</v>
      </c>
      <c r="P666" s="22">
        <f t="shared" si="30"/>
        <v>2</v>
      </c>
      <c r="Q666" s="22">
        <f t="shared" si="31"/>
        <v>1963</v>
      </c>
      <c r="R666" s="22">
        <f t="shared" si="32"/>
        <v>1964</v>
      </c>
    </row>
    <row r="667" spans="1:18" x14ac:dyDescent="0.2">
      <c r="A667" s="567">
        <v>976</v>
      </c>
      <c r="B667" s="568" t="s">
        <v>487</v>
      </c>
      <c r="C667" s="568" t="s">
        <v>501</v>
      </c>
      <c r="D667" s="567">
        <v>2533</v>
      </c>
      <c r="E667" s="567">
        <v>10</v>
      </c>
      <c r="F667" s="567">
        <v>13</v>
      </c>
      <c r="G667" s="567">
        <v>135</v>
      </c>
      <c r="H667" s="567">
        <v>1140</v>
      </c>
      <c r="O667" s="568" t="s">
        <v>2503</v>
      </c>
      <c r="P667" s="22">
        <f t="shared" si="30"/>
        <v>4</v>
      </c>
      <c r="Q667" s="22">
        <f t="shared" si="31"/>
        <v>1965</v>
      </c>
      <c r="R667" s="22">
        <f t="shared" si="32"/>
        <v>1968</v>
      </c>
    </row>
    <row r="668" spans="1:18" x14ac:dyDescent="0.2">
      <c r="A668" s="567">
        <v>977</v>
      </c>
      <c r="B668" s="568" t="s">
        <v>487</v>
      </c>
      <c r="C668" s="568" t="s">
        <v>502</v>
      </c>
      <c r="D668" s="567">
        <v>2534</v>
      </c>
      <c r="E668" s="567">
        <v>10</v>
      </c>
      <c r="F668" s="567">
        <v>13</v>
      </c>
      <c r="G668" s="567">
        <v>135</v>
      </c>
      <c r="H668" s="567">
        <v>1140</v>
      </c>
      <c r="O668" s="568" t="s">
        <v>790</v>
      </c>
      <c r="P668" s="22">
        <f t="shared" si="30"/>
        <v>1</v>
      </c>
      <c r="Q668" s="22">
        <f t="shared" si="31"/>
        <v>1969</v>
      </c>
      <c r="R668" s="22">
        <f t="shared" si="32"/>
        <v>1969</v>
      </c>
    </row>
    <row r="669" spans="1:18" x14ac:dyDescent="0.2">
      <c r="A669" s="567">
        <v>978</v>
      </c>
      <c r="B669" s="568" t="s">
        <v>487</v>
      </c>
      <c r="C669" s="568" t="s">
        <v>503</v>
      </c>
      <c r="D669" s="567">
        <v>2535</v>
      </c>
      <c r="E669" s="567">
        <v>10</v>
      </c>
      <c r="F669" s="567">
        <v>13</v>
      </c>
      <c r="G669" s="567">
        <v>135</v>
      </c>
      <c r="H669" s="567">
        <v>1140</v>
      </c>
      <c r="O669" s="568" t="s">
        <v>232</v>
      </c>
      <c r="P669" s="22">
        <f t="shared" si="30"/>
        <v>3</v>
      </c>
      <c r="Q669" s="22">
        <f t="shared" si="31"/>
        <v>1970</v>
      </c>
      <c r="R669" s="22">
        <f t="shared" si="32"/>
        <v>1972</v>
      </c>
    </row>
    <row r="670" spans="1:18" x14ac:dyDescent="0.2">
      <c r="A670" s="567">
        <v>979</v>
      </c>
      <c r="B670" s="568" t="s">
        <v>487</v>
      </c>
      <c r="C670" s="568" t="s">
        <v>504</v>
      </c>
      <c r="D670" s="567">
        <v>2536</v>
      </c>
      <c r="E670" s="567">
        <v>10</v>
      </c>
      <c r="F670" s="567">
        <v>13</v>
      </c>
      <c r="G670" s="567">
        <v>135</v>
      </c>
      <c r="H670" s="567">
        <v>1140</v>
      </c>
      <c r="O670" s="568" t="s">
        <v>80</v>
      </c>
      <c r="P670" s="22">
        <f t="shared" si="30"/>
        <v>1</v>
      </c>
      <c r="Q670" s="22">
        <f t="shared" si="31"/>
        <v>1973</v>
      </c>
      <c r="R670" s="22">
        <f t="shared" si="32"/>
        <v>1973</v>
      </c>
    </row>
    <row r="671" spans="1:18" x14ac:dyDescent="0.2">
      <c r="A671" s="567">
        <v>554</v>
      </c>
      <c r="B671" s="568" t="s">
        <v>747</v>
      </c>
      <c r="C671" s="568" t="s">
        <v>746</v>
      </c>
      <c r="D671" s="567">
        <v>1158</v>
      </c>
      <c r="E671" s="567">
        <v>11</v>
      </c>
      <c r="F671" s="567">
        <v>1</v>
      </c>
      <c r="G671" s="567">
        <v>118</v>
      </c>
      <c r="H671" s="567">
        <v>1170</v>
      </c>
      <c r="O671" s="568" t="s">
        <v>1652</v>
      </c>
      <c r="P671" s="22">
        <f t="shared" si="30"/>
        <v>8</v>
      </c>
      <c r="Q671" s="22">
        <f t="shared" si="31"/>
        <v>1974</v>
      </c>
      <c r="R671" s="22">
        <f t="shared" si="32"/>
        <v>1981</v>
      </c>
    </row>
    <row r="672" spans="1:18" x14ac:dyDescent="0.2">
      <c r="A672" s="567">
        <v>553</v>
      </c>
      <c r="B672" s="568" t="s">
        <v>747</v>
      </c>
      <c r="C672" s="568" t="s">
        <v>748</v>
      </c>
      <c r="D672" s="567">
        <v>1157</v>
      </c>
      <c r="E672" s="567">
        <v>11</v>
      </c>
      <c r="F672" s="567">
        <v>1</v>
      </c>
      <c r="G672" s="567">
        <v>118</v>
      </c>
      <c r="H672" s="567">
        <v>1170</v>
      </c>
      <c r="O672" s="568" t="s">
        <v>505</v>
      </c>
      <c r="P672" s="22">
        <f t="shared" si="30"/>
        <v>3</v>
      </c>
      <c r="Q672" s="22">
        <f t="shared" si="31"/>
        <v>1982</v>
      </c>
      <c r="R672" s="22">
        <f t="shared" si="32"/>
        <v>1984</v>
      </c>
    </row>
    <row r="673" spans="1:18" x14ac:dyDescent="0.2">
      <c r="A673" s="567">
        <v>551</v>
      </c>
      <c r="B673" s="568" t="s">
        <v>747</v>
      </c>
      <c r="C673" s="568" t="s">
        <v>747</v>
      </c>
      <c r="D673" s="567">
        <v>1155</v>
      </c>
      <c r="E673" s="567">
        <v>11</v>
      </c>
      <c r="F673" s="567">
        <v>1</v>
      </c>
      <c r="G673" s="567">
        <v>118</v>
      </c>
      <c r="H673" s="567">
        <v>1170</v>
      </c>
      <c r="O673" s="568" t="s">
        <v>1430</v>
      </c>
      <c r="P673" s="22">
        <f t="shared" si="30"/>
        <v>2</v>
      </c>
      <c r="Q673" s="22">
        <f t="shared" si="31"/>
        <v>1985</v>
      </c>
      <c r="R673" s="22">
        <f t="shared" si="32"/>
        <v>1986</v>
      </c>
    </row>
    <row r="674" spans="1:18" x14ac:dyDescent="0.2">
      <c r="A674" s="567">
        <v>552</v>
      </c>
      <c r="B674" s="568" t="s">
        <v>747</v>
      </c>
      <c r="C674" s="568" t="s">
        <v>785</v>
      </c>
      <c r="D674" s="567">
        <v>1156</v>
      </c>
      <c r="E674" s="567">
        <v>11</v>
      </c>
      <c r="F674" s="567">
        <v>1</v>
      </c>
      <c r="G674" s="567">
        <v>118</v>
      </c>
      <c r="H674" s="567">
        <v>1170</v>
      </c>
      <c r="O674" s="568" t="s">
        <v>1397</v>
      </c>
      <c r="P674" s="22">
        <f t="shared" si="30"/>
        <v>4</v>
      </c>
      <c r="Q674" s="22">
        <f t="shared" si="31"/>
        <v>1987</v>
      </c>
      <c r="R674" s="22">
        <f t="shared" si="32"/>
        <v>1990</v>
      </c>
    </row>
    <row r="675" spans="1:18" x14ac:dyDescent="0.2">
      <c r="A675" s="567">
        <v>1503</v>
      </c>
      <c r="B675" s="568" t="s">
        <v>1643</v>
      </c>
      <c r="C675" s="568" t="s">
        <v>1643</v>
      </c>
      <c r="D675" s="567">
        <v>4120</v>
      </c>
      <c r="E675" s="567">
        <v>18</v>
      </c>
      <c r="F675" s="567">
        <v>7</v>
      </c>
      <c r="G675" s="567">
        <v>235</v>
      </c>
      <c r="H675" s="567">
        <v>2160</v>
      </c>
      <c r="O675" s="568" t="s">
        <v>1467</v>
      </c>
      <c r="P675" s="22">
        <f t="shared" si="30"/>
        <v>2</v>
      </c>
      <c r="Q675" s="22">
        <f t="shared" si="31"/>
        <v>1991</v>
      </c>
      <c r="R675" s="22">
        <f t="shared" si="32"/>
        <v>1992</v>
      </c>
    </row>
    <row r="676" spans="1:18" x14ac:dyDescent="0.2">
      <c r="A676" s="567">
        <v>2403</v>
      </c>
      <c r="B676" s="568" t="s">
        <v>2487</v>
      </c>
      <c r="C676" s="568" t="s">
        <v>2487</v>
      </c>
      <c r="D676" s="567">
        <v>6900</v>
      </c>
      <c r="E676" s="567">
        <v>32</v>
      </c>
      <c r="F676" s="567">
        <v>7</v>
      </c>
      <c r="G676" s="567">
        <v>337</v>
      </c>
      <c r="H676" s="567">
        <v>3180</v>
      </c>
      <c r="O676" s="568" t="s">
        <v>558</v>
      </c>
      <c r="P676" s="22">
        <f t="shared" si="30"/>
        <v>3</v>
      </c>
      <c r="Q676" s="22">
        <f t="shared" si="31"/>
        <v>1993</v>
      </c>
      <c r="R676" s="22">
        <f t="shared" si="32"/>
        <v>1995</v>
      </c>
    </row>
    <row r="677" spans="1:18" x14ac:dyDescent="0.2">
      <c r="A677" s="567">
        <v>2145</v>
      </c>
      <c r="B677" s="568" t="s">
        <v>1771</v>
      </c>
      <c r="C677" s="568" t="s">
        <v>1771</v>
      </c>
      <c r="D677" s="567">
        <v>6150</v>
      </c>
      <c r="E677" s="567">
        <v>12</v>
      </c>
      <c r="F677" s="567">
        <v>8</v>
      </c>
      <c r="G677" s="567">
        <v>326</v>
      </c>
      <c r="H677" s="567">
        <v>3100</v>
      </c>
      <c r="O677" s="568" t="s">
        <v>845</v>
      </c>
      <c r="P677" s="22">
        <f t="shared" si="30"/>
        <v>1</v>
      </c>
      <c r="Q677" s="22">
        <f t="shared" si="31"/>
        <v>1996</v>
      </c>
      <c r="R677" s="22">
        <f t="shared" si="32"/>
        <v>1996</v>
      </c>
    </row>
    <row r="678" spans="1:18" x14ac:dyDescent="0.2">
      <c r="A678" s="567">
        <v>2146</v>
      </c>
      <c r="B678" s="568" t="s">
        <v>1771</v>
      </c>
      <c r="C678" s="568" t="s">
        <v>1772</v>
      </c>
      <c r="D678" s="567">
        <v>6151</v>
      </c>
      <c r="E678" s="567">
        <v>12</v>
      </c>
      <c r="F678" s="567">
        <v>8</v>
      </c>
      <c r="G678" s="567">
        <v>326</v>
      </c>
      <c r="H678" s="567">
        <v>3100</v>
      </c>
      <c r="O678" s="568" t="s">
        <v>842</v>
      </c>
      <c r="P678" s="22">
        <f t="shared" si="30"/>
        <v>1</v>
      </c>
      <c r="Q678" s="22">
        <f t="shared" si="31"/>
        <v>1997</v>
      </c>
      <c r="R678" s="22">
        <f t="shared" si="32"/>
        <v>1997</v>
      </c>
    </row>
    <row r="679" spans="1:18" x14ac:dyDescent="0.2">
      <c r="A679" s="567">
        <v>2147</v>
      </c>
      <c r="B679" s="568" t="s">
        <v>1771</v>
      </c>
      <c r="C679" s="568" t="s">
        <v>1773</v>
      </c>
      <c r="D679" s="567">
        <v>6152</v>
      </c>
      <c r="E679" s="567">
        <v>12</v>
      </c>
      <c r="F679" s="567">
        <v>8</v>
      </c>
      <c r="G679" s="567">
        <v>326</v>
      </c>
      <c r="H679" s="567">
        <v>3100</v>
      </c>
      <c r="O679" s="568" t="s">
        <v>613</v>
      </c>
      <c r="P679" s="22">
        <f t="shared" si="30"/>
        <v>1</v>
      </c>
      <c r="Q679" s="22">
        <f t="shared" si="31"/>
        <v>1998</v>
      </c>
      <c r="R679" s="22">
        <f t="shared" si="32"/>
        <v>1998</v>
      </c>
    </row>
    <row r="680" spans="1:18" x14ac:dyDescent="0.2">
      <c r="A680" s="567">
        <v>2148</v>
      </c>
      <c r="B680" s="568" t="s">
        <v>1771</v>
      </c>
      <c r="C680" s="568" t="s">
        <v>1774</v>
      </c>
      <c r="D680" s="567">
        <v>6153</v>
      </c>
      <c r="E680" s="567">
        <v>12</v>
      </c>
      <c r="F680" s="567">
        <v>8</v>
      </c>
      <c r="G680" s="567">
        <v>326</v>
      </c>
      <c r="H680" s="567">
        <v>3100</v>
      </c>
      <c r="O680" s="568" t="s">
        <v>1490</v>
      </c>
      <c r="P680" s="22">
        <f t="shared" si="30"/>
        <v>1</v>
      </c>
      <c r="Q680" s="22">
        <f t="shared" si="31"/>
        <v>1999</v>
      </c>
      <c r="R680" s="22">
        <f t="shared" si="32"/>
        <v>1999</v>
      </c>
    </row>
    <row r="681" spans="1:18" x14ac:dyDescent="0.2">
      <c r="A681" s="567">
        <v>2149</v>
      </c>
      <c r="B681" s="568" t="s">
        <v>1771</v>
      </c>
      <c r="C681" s="568" t="s">
        <v>1775</v>
      </c>
      <c r="D681" s="567">
        <v>6154</v>
      </c>
      <c r="E681" s="567">
        <v>12</v>
      </c>
      <c r="F681" s="567">
        <v>8</v>
      </c>
      <c r="G681" s="567">
        <v>326</v>
      </c>
      <c r="H681" s="567">
        <v>3100</v>
      </c>
      <c r="O681" s="568" t="s">
        <v>3254</v>
      </c>
      <c r="P681" s="22">
        <f t="shared" si="30"/>
        <v>1</v>
      </c>
      <c r="Q681" s="22">
        <f t="shared" si="31"/>
        <v>2000</v>
      </c>
      <c r="R681" s="22">
        <f t="shared" si="32"/>
        <v>2000</v>
      </c>
    </row>
    <row r="682" spans="1:18" x14ac:dyDescent="0.2">
      <c r="A682" s="567">
        <v>2150</v>
      </c>
      <c r="B682" s="568" t="s">
        <v>1771</v>
      </c>
      <c r="C682" s="568" t="s">
        <v>1776</v>
      </c>
      <c r="D682" s="567">
        <v>6155</v>
      </c>
      <c r="E682" s="567">
        <v>12</v>
      </c>
      <c r="F682" s="567">
        <v>8</v>
      </c>
      <c r="G682" s="567">
        <v>326</v>
      </c>
      <c r="H682" s="567">
        <v>3100</v>
      </c>
      <c r="O682" s="568" t="s">
        <v>2998</v>
      </c>
      <c r="P682" s="22">
        <f t="shared" si="30"/>
        <v>1</v>
      </c>
      <c r="Q682" s="22">
        <f t="shared" si="31"/>
        <v>2001</v>
      </c>
      <c r="R682" s="22">
        <f t="shared" si="32"/>
        <v>2001</v>
      </c>
    </row>
    <row r="683" spans="1:18" x14ac:dyDescent="0.2">
      <c r="A683" s="567">
        <v>2152</v>
      </c>
      <c r="B683" s="568" t="s">
        <v>1771</v>
      </c>
      <c r="C683" s="568" t="s">
        <v>1778</v>
      </c>
      <c r="D683" s="567">
        <v>6157</v>
      </c>
      <c r="E683" s="567">
        <v>12</v>
      </c>
      <c r="F683" s="567">
        <v>8</v>
      </c>
      <c r="G683" s="567">
        <v>326</v>
      </c>
      <c r="H683" s="567">
        <v>3100</v>
      </c>
      <c r="O683" s="568" t="s">
        <v>1439</v>
      </c>
      <c r="P683" s="22">
        <f t="shared" si="30"/>
        <v>1</v>
      </c>
      <c r="Q683" s="22">
        <f t="shared" si="31"/>
        <v>2002</v>
      </c>
      <c r="R683" s="22">
        <f t="shared" si="32"/>
        <v>2002</v>
      </c>
    </row>
    <row r="684" spans="1:18" x14ac:dyDescent="0.2">
      <c r="A684" s="567">
        <v>2151</v>
      </c>
      <c r="B684" s="568" t="s">
        <v>1771</v>
      </c>
      <c r="C684" s="568" t="s">
        <v>1785</v>
      </c>
      <c r="D684" s="567">
        <v>6156</v>
      </c>
      <c r="E684" s="567">
        <v>12</v>
      </c>
      <c r="F684" s="567">
        <v>8</v>
      </c>
      <c r="G684" s="567">
        <v>326</v>
      </c>
      <c r="H684" s="567">
        <v>3100</v>
      </c>
      <c r="O684" s="568" t="s">
        <v>807</v>
      </c>
      <c r="P684" s="22">
        <f t="shared" si="30"/>
        <v>1</v>
      </c>
      <c r="Q684" s="22">
        <f t="shared" si="31"/>
        <v>2003</v>
      </c>
      <c r="R684" s="22">
        <f t="shared" si="32"/>
        <v>2003</v>
      </c>
    </row>
    <row r="685" spans="1:18" x14ac:dyDescent="0.2">
      <c r="A685" s="567">
        <v>836</v>
      </c>
      <c r="B685" s="568" t="s">
        <v>466</v>
      </c>
      <c r="C685" s="568" t="s">
        <v>466</v>
      </c>
      <c r="D685" s="567">
        <v>2085</v>
      </c>
      <c r="E685" s="567">
        <v>15</v>
      </c>
      <c r="F685" s="567">
        <v>14</v>
      </c>
      <c r="G685" s="567">
        <v>117</v>
      </c>
      <c r="H685" s="567">
        <v>1130</v>
      </c>
      <c r="O685" s="568" t="s">
        <v>855</v>
      </c>
      <c r="P685" s="22">
        <f t="shared" si="30"/>
        <v>2</v>
      </c>
      <c r="Q685" s="22">
        <f t="shared" si="31"/>
        <v>2004</v>
      </c>
      <c r="R685" s="22">
        <f t="shared" si="32"/>
        <v>2005</v>
      </c>
    </row>
    <row r="686" spans="1:18" x14ac:dyDescent="0.2">
      <c r="A686" s="567">
        <v>837</v>
      </c>
      <c r="B686" s="568" t="s">
        <v>466</v>
      </c>
      <c r="C686" s="568" t="s">
        <v>167</v>
      </c>
      <c r="D686" s="567">
        <v>2086</v>
      </c>
      <c r="E686" s="567">
        <v>15</v>
      </c>
      <c r="F686" s="567">
        <v>14</v>
      </c>
      <c r="G686" s="567">
        <v>117</v>
      </c>
      <c r="H686" s="567">
        <v>1130</v>
      </c>
      <c r="O686" s="568" t="s">
        <v>3258</v>
      </c>
      <c r="P686" s="22">
        <f t="shared" si="30"/>
        <v>1</v>
      </c>
      <c r="Q686" s="22">
        <f t="shared" si="31"/>
        <v>2006</v>
      </c>
      <c r="R686" s="22">
        <f t="shared" si="32"/>
        <v>2006</v>
      </c>
    </row>
    <row r="687" spans="1:18" x14ac:dyDescent="0.2">
      <c r="A687" s="567">
        <v>838</v>
      </c>
      <c r="B687" s="568" t="s">
        <v>466</v>
      </c>
      <c r="C687" s="568" t="s">
        <v>467</v>
      </c>
      <c r="D687" s="567">
        <v>2087</v>
      </c>
      <c r="E687" s="567">
        <v>15</v>
      </c>
      <c r="F687" s="567">
        <v>14</v>
      </c>
      <c r="G687" s="567">
        <v>117</v>
      </c>
      <c r="H687" s="567">
        <v>1130</v>
      </c>
      <c r="O687" s="568" t="s">
        <v>109</v>
      </c>
      <c r="P687" s="22">
        <f t="shared" si="30"/>
        <v>6</v>
      </c>
      <c r="Q687" s="22">
        <f t="shared" si="31"/>
        <v>2007</v>
      </c>
      <c r="R687" s="22">
        <f t="shared" si="32"/>
        <v>2012</v>
      </c>
    </row>
    <row r="688" spans="1:18" x14ac:dyDescent="0.2">
      <c r="A688" s="567">
        <v>2800</v>
      </c>
      <c r="B688" s="568" t="s">
        <v>2640</v>
      </c>
      <c r="C688" s="568" t="s">
        <v>2640</v>
      </c>
      <c r="D688" s="567">
        <v>8015</v>
      </c>
      <c r="E688" s="567">
        <v>15</v>
      </c>
      <c r="F688" s="567">
        <v>17</v>
      </c>
      <c r="G688" s="567">
        <v>417</v>
      </c>
      <c r="H688" s="567">
        <v>4100</v>
      </c>
      <c r="O688" s="568" t="s">
        <v>1689</v>
      </c>
      <c r="P688" s="22">
        <f t="shared" si="30"/>
        <v>5</v>
      </c>
      <c r="Q688" s="22">
        <f t="shared" si="31"/>
        <v>2013</v>
      </c>
      <c r="R688" s="22">
        <f t="shared" si="32"/>
        <v>2017</v>
      </c>
    </row>
    <row r="689" spans="1:18" x14ac:dyDescent="0.2">
      <c r="A689" s="567">
        <v>2034</v>
      </c>
      <c r="B689" s="568" t="s">
        <v>2384</v>
      </c>
      <c r="C689" s="568" t="s">
        <v>2383</v>
      </c>
      <c r="D689" s="567">
        <v>5773</v>
      </c>
      <c r="E689" s="567">
        <v>12</v>
      </c>
      <c r="F689" s="567">
        <v>17</v>
      </c>
      <c r="G689" s="567">
        <v>325</v>
      </c>
      <c r="H689" s="567">
        <v>3160</v>
      </c>
      <c r="O689" s="568" t="s">
        <v>575</v>
      </c>
      <c r="P689" s="22">
        <f t="shared" si="30"/>
        <v>3</v>
      </c>
      <c r="Q689" s="22">
        <f t="shared" si="31"/>
        <v>2018</v>
      </c>
      <c r="R689" s="22">
        <f t="shared" si="32"/>
        <v>2020</v>
      </c>
    </row>
    <row r="690" spans="1:18" x14ac:dyDescent="0.2">
      <c r="A690" s="567">
        <v>2031</v>
      </c>
      <c r="B690" s="568" t="s">
        <v>2384</v>
      </c>
      <c r="C690" s="568" t="s">
        <v>2384</v>
      </c>
      <c r="D690" s="567">
        <v>5770</v>
      </c>
      <c r="E690" s="567">
        <v>12</v>
      </c>
      <c r="F690" s="567">
        <v>17</v>
      </c>
      <c r="G690" s="567">
        <v>325</v>
      </c>
      <c r="H690" s="567">
        <v>3160</v>
      </c>
      <c r="O690" s="568" t="s">
        <v>1275</v>
      </c>
      <c r="P690" s="22">
        <f t="shared" si="30"/>
        <v>4</v>
      </c>
      <c r="Q690" s="22">
        <f t="shared" si="31"/>
        <v>2021</v>
      </c>
      <c r="R690" s="22">
        <f t="shared" si="32"/>
        <v>2024</v>
      </c>
    </row>
    <row r="691" spans="1:18" x14ac:dyDescent="0.2">
      <c r="A691" s="567">
        <v>2032</v>
      </c>
      <c r="B691" s="568" t="s">
        <v>2384</v>
      </c>
      <c r="C691" s="568" t="s">
        <v>2400</v>
      </c>
      <c r="D691" s="567">
        <v>5771</v>
      </c>
      <c r="E691" s="567">
        <v>12</v>
      </c>
      <c r="F691" s="567">
        <v>17</v>
      </c>
      <c r="G691" s="567">
        <v>325</v>
      </c>
      <c r="H691" s="567">
        <v>3160</v>
      </c>
      <c r="O691" s="568" t="s">
        <v>1886</v>
      </c>
      <c r="P691" s="22">
        <f t="shared" si="30"/>
        <v>4</v>
      </c>
      <c r="Q691" s="22">
        <f t="shared" si="31"/>
        <v>2025</v>
      </c>
      <c r="R691" s="22">
        <f t="shared" si="32"/>
        <v>2028</v>
      </c>
    </row>
    <row r="692" spans="1:18" x14ac:dyDescent="0.2">
      <c r="A692" s="567">
        <v>2033</v>
      </c>
      <c r="B692" s="568" t="s">
        <v>2384</v>
      </c>
      <c r="C692" s="568" t="s">
        <v>2402</v>
      </c>
      <c r="D692" s="567">
        <v>5772</v>
      </c>
      <c r="E692" s="567">
        <v>12</v>
      </c>
      <c r="F692" s="567">
        <v>17</v>
      </c>
      <c r="G692" s="567">
        <v>325</v>
      </c>
      <c r="H692" s="567">
        <v>3160</v>
      </c>
      <c r="O692" s="568" t="s">
        <v>586</v>
      </c>
      <c r="P692" s="22">
        <f t="shared" si="30"/>
        <v>5</v>
      </c>
      <c r="Q692" s="22">
        <f t="shared" si="31"/>
        <v>2029</v>
      </c>
      <c r="R692" s="22">
        <f t="shared" si="32"/>
        <v>2033</v>
      </c>
    </row>
    <row r="693" spans="1:18" x14ac:dyDescent="0.2">
      <c r="A693" s="567">
        <v>2037</v>
      </c>
      <c r="B693" s="568" t="s">
        <v>2384</v>
      </c>
      <c r="C693" s="568" t="s">
        <v>2404</v>
      </c>
      <c r="D693" s="567">
        <v>5776</v>
      </c>
      <c r="E693" s="567">
        <v>12</v>
      </c>
      <c r="F693" s="567">
        <v>17</v>
      </c>
      <c r="G693" s="567">
        <v>325</v>
      </c>
      <c r="H693" s="567">
        <v>3160</v>
      </c>
      <c r="O693" s="568" t="s">
        <v>894</v>
      </c>
      <c r="P693" s="22">
        <f t="shared" si="30"/>
        <v>8</v>
      </c>
      <c r="Q693" s="22">
        <f t="shared" si="31"/>
        <v>2034</v>
      </c>
      <c r="R693" s="22">
        <f t="shared" si="32"/>
        <v>2041</v>
      </c>
    </row>
    <row r="694" spans="1:18" x14ac:dyDescent="0.2">
      <c r="A694" s="567">
        <v>2036</v>
      </c>
      <c r="B694" s="568" t="s">
        <v>2384</v>
      </c>
      <c r="C694" s="568" t="s">
        <v>2405</v>
      </c>
      <c r="D694" s="567">
        <v>5775</v>
      </c>
      <c r="E694" s="567">
        <v>12</v>
      </c>
      <c r="F694" s="567">
        <v>17</v>
      </c>
      <c r="G694" s="567">
        <v>325</v>
      </c>
      <c r="H694" s="567">
        <v>3160</v>
      </c>
      <c r="O694" s="568" t="s">
        <v>2070</v>
      </c>
      <c r="P694" s="22">
        <f t="shared" si="30"/>
        <v>1</v>
      </c>
      <c r="Q694" s="22">
        <f t="shared" si="31"/>
        <v>2042</v>
      </c>
      <c r="R694" s="22">
        <f t="shared" si="32"/>
        <v>2042</v>
      </c>
    </row>
    <row r="695" spans="1:18" x14ac:dyDescent="0.2">
      <c r="A695" s="567">
        <v>2035</v>
      </c>
      <c r="B695" s="568" t="s">
        <v>2384</v>
      </c>
      <c r="C695" s="568" t="s">
        <v>2406</v>
      </c>
      <c r="D695" s="567">
        <v>5774</v>
      </c>
      <c r="E695" s="567">
        <v>12</v>
      </c>
      <c r="F695" s="567">
        <v>17</v>
      </c>
      <c r="G695" s="567">
        <v>325</v>
      </c>
      <c r="H695" s="567">
        <v>3160</v>
      </c>
      <c r="O695" s="568" t="s">
        <v>836</v>
      </c>
      <c r="P695" s="22">
        <f t="shared" si="30"/>
        <v>2</v>
      </c>
      <c r="Q695" s="22">
        <f t="shared" si="31"/>
        <v>2043</v>
      </c>
      <c r="R695" s="22">
        <f t="shared" si="32"/>
        <v>2044</v>
      </c>
    </row>
    <row r="696" spans="1:18" x14ac:dyDescent="0.2">
      <c r="A696" s="567">
        <v>2854</v>
      </c>
      <c r="B696" s="568" t="s">
        <v>3218</v>
      </c>
      <c r="C696" s="568" t="s">
        <v>3218</v>
      </c>
      <c r="D696" s="567">
        <v>8230</v>
      </c>
      <c r="E696" s="567">
        <v>31</v>
      </c>
      <c r="F696" s="567">
        <v>13</v>
      </c>
      <c r="G696" s="567">
        <v>425</v>
      </c>
      <c r="H696" s="567">
        <v>4170</v>
      </c>
      <c r="O696" s="568" t="s">
        <v>2413</v>
      </c>
      <c r="P696" s="22">
        <f t="shared" si="30"/>
        <v>1</v>
      </c>
      <c r="Q696" s="22">
        <f t="shared" si="31"/>
        <v>2045</v>
      </c>
      <c r="R696" s="22">
        <f t="shared" si="32"/>
        <v>2045</v>
      </c>
    </row>
    <row r="697" spans="1:18" x14ac:dyDescent="0.2">
      <c r="A697" s="567">
        <v>2855</v>
      </c>
      <c r="B697" s="568" t="s">
        <v>3218</v>
      </c>
      <c r="C697" s="568" t="s">
        <v>3219</v>
      </c>
      <c r="D697" s="567">
        <v>8231</v>
      </c>
      <c r="E697" s="567">
        <v>31</v>
      </c>
      <c r="F697" s="567">
        <v>13</v>
      </c>
      <c r="G697" s="567">
        <v>425</v>
      </c>
      <c r="H697" s="567">
        <v>4170</v>
      </c>
      <c r="O697" s="568" t="s">
        <v>879</v>
      </c>
      <c r="P697" s="22">
        <f t="shared" si="30"/>
        <v>4</v>
      </c>
      <c r="Q697" s="22">
        <f t="shared" si="31"/>
        <v>2046</v>
      </c>
      <c r="R697" s="22">
        <f t="shared" si="32"/>
        <v>2049</v>
      </c>
    </row>
    <row r="698" spans="1:18" x14ac:dyDescent="0.2">
      <c r="A698" s="567">
        <v>2856</v>
      </c>
      <c r="B698" s="568" t="s">
        <v>3218</v>
      </c>
      <c r="C698" s="568" t="s">
        <v>3220</v>
      </c>
      <c r="D698" s="567">
        <v>8232</v>
      </c>
      <c r="E698" s="567">
        <v>31</v>
      </c>
      <c r="F698" s="567">
        <v>13</v>
      </c>
      <c r="G698" s="567">
        <v>425</v>
      </c>
      <c r="H698" s="567">
        <v>4170</v>
      </c>
      <c r="O698" s="568" t="s">
        <v>880</v>
      </c>
      <c r="P698" s="22">
        <f t="shared" si="30"/>
        <v>1</v>
      </c>
      <c r="Q698" s="22">
        <f t="shared" si="31"/>
        <v>2050</v>
      </c>
      <c r="R698" s="22">
        <f t="shared" si="32"/>
        <v>2050</v>
      </c>
    </row>
    <row r="699" spans="1:18" x14ac:dyDescent="0.2">
      <c r="A699" s="567">
        <v>2857</v>
      </c>
      <c r="B699" s="568" t="s">
        <v>3218</v>
      </c>
      <c r="C699" s="568" t="s">
        <v>3221</v>
      </c>
      <c r="D699" s="567">
        <v>8233</v>
      </c>
      <c r="E699" s="567">
        <v>31</v>
      </c>
      <c r="F699" s="567">
        <v>13</v>
      </c>
      <c r="G699" s="567">
        <v>425</v>
      </c>
      <c r="H699" s="567">
        <v>4170</v>
      </c>
      <c r="O699" s="568" t="s">
        <v>2424</v>
      </c>
      <c r="P699" s="22">
        <f t="shared" si="30"/>
        <v>3</v>
      </c>
      <c r="Q699" s="22">
        <f t="shared" si="31"/>
        <v>2051</v>
      </c>
      <c r="R699" s="22">
        <f t="shared" si="32"/>
        <v>2053</v>
      </c>
    </row>
    <row r="700" spans="1:18" x14ac:dyDescent="0.2">
      <c r="A700" s="567">
        <v>2858</v>
      </c>
      <c r="B700" s="568" t="s">
        <v>3218</v>
      </c>
      <c r="C700" s="568" t="s">
        <v>3235</v>
      </c>
      <c r="D700" s="567">
        <v>8234</v>
      </c>
      <c r="E700" s="567">
        <v>31</v>
      </c>
      <c r="F700" s="567">
        <v>13</v>
      </c>
      <c r="G700" s="567">
        <v>425</v>
      </c>
      <c r="H700" s="567">
        <v>4170</v>
      </c>
      <c r="O700" s="568" t="s">
        <v>1796</v>
      </c>
      <c r="P700" s="22">
        <f t="shared" si="30"/>
        <v>1</v>
      </c>
      <c r="Q700" s="22">
        <f t="shared" si="31"/>
        <v>2054</v>
      </c>
      <c r="R700" s="22">
        <f t="shared" si="32"/>
        <v>2054</v>
      </c>
    </row>
    <row r="701" spans="1:18" x14ac:dyDescent="0.2">
      <c r="A701" s="567">
        <v>1608</v>
      </c>
      <c r="B701" s="568" t="s">
        <v>1188</v>
      </c>
      <c r="C701" s="568" t="s">
        <v>1188</v>
      </c>
      <c r="D701" s="567">
        <v>4430</v>
      </c>
      <c r="E701" s="567">
        <v>19</v>
      </c>
      <c r="F701" s="567">
        <v>7</v>
      </c>
      <c r="G701" s="567">
        <v>237</v>
      </c>
      <c r="H701" s="567">
        <v>2110</v>
      </c>
      <c r="O701" s="568" t="s">
        <v>100</v>
      </c>
      <c r="P701" s="22">
        <f t="shared" si="30"/>
        <v>1</v>
      </c>
      <c r="Q701" s="22">
        <f t="shared" si="31"/>
        <v>2055</v>
      </c>
      <c r="R701" s="22">
        <f t="shared" si="32"/>
        <v>2055</v>
      </c>
    </row>
    <row r="702" spans="1:18" x14ac:dyDescent="0.2">
      <c r="A702" s="567">
        <v>1609</v>
      </c>
      <c r="B702" s="568" t="s">
        <v>1188</v>
      </c>
      <c r="C702" s="568" t="s">
        <v>1191</v>
      </c>
      <c r="D702" s="567">
        <v>4431</v>
      </c>
      <c r="E702" s="567">
        <v>19</v>
      </c>
      <c r="F702" s="567">
        <v>7</v>
      </c>
      <c r="G702" s="567">
        <v>237</v>
      </c>
      <c r="H702" s="567">
        <v>2110</v>
      </c>
      <c r="O702" s="568" t="s">
        <v>1592</v>
      </c>
      <c r="P702" s="22">
        <f t="shared" si="30"/>
        <v>3</v>
      </c>
      <c r="Q702" s="22">
        <f t="shared" si="31"/>
        <v>2056</v>
      </c>
      <c r="R702" s="22">
        <f t="shared" si="32"/>
        <v>2058</v>
      </c>
    </row>
    <row r="703" spans="1:18" x14ac:dyDescent="0.2">
      <c r="A703" s="567">
        <v>1610</v>
      </c>
      <c r="B703" s="568" t="s">
        <v>1188</v>
      </c>
      <c r="C703" s="568" t="s">
        <v>1243</v>
      </c>
      <c r="D703" s="567">
        <v>4432</v>
      </c>
      <c r="E703" s="567">
        <v>19</v>
      </c>
      <c r="F703" s="567">
        <v>7</v>
      </c>
      <c r="G703" s="567">
        <v>237</v>
      </c>
      <c r="H703" s="567">
        <v>2110</v>
      </c>
      <c r="O703" s="568" t="s">
        <v>1454</v>
      </c>
      <c r="P703" s="22">
        <f t="shared" si="30"/>
        <v>1</v>
      </c>
      <c r="Q703" s="22">
        <f t="shared" si="31"/>
        <v>2059</v>
      </c>
      <c r="R703" s="22">
        <f t="shared" si="32"/>
        <v>2059</v>
      </c>
    </row>
    <row r="704" spans="1:18" x14ac:dyDescent="0.2">
      <c r="A704" s="567">
        <v>150</v>
      </c>
      <c r="B704" s="568" t="s">
        <v>895</v>
      </c>
      <c r="C704" s="568" t="s">
        <v>895</v>
      </c>
      <c r="D704" s="567">
        <v>235</v>
      </c>
      <c r="E704" s="567">
        <v>20</v>
      </c>
      <c r="F704" s="567">
        <v>20</v>
      </c>
      <c r="G704" s="567">
        <v>126</v>
      </c>
      <c r="H704" s="567">
        <v>1190</v>
      </c>
      <c r="O704" s="568" t="s">
        <v>408</v>
      </c>
      <c r="P704" s="22">
        <f t="shared" si="30"/>
        <v>2</v>
      </c>
      <c r="Q704" s="22">
        <f t="shared" si="31"/>
        <v>2060</v>
      </c>
      <c r="R704" s="22">
        <f t="shared" si="32"/>
        <v>2061</v>
      </c>
    </row>
    <row r="705" spans="1:18" x14ac:dyDescent="0.2">
      <c r="A705" s="567">
        <v>151</v>
      </c>
      <c r="B705" s="568" t="s">
        <v>895</v>
      </c>
      <c r="C705" s="568" t="s">
        <v>896</v>
      </c>
      <c r="D705" s="567">
        <v>236</v>
      </c>
      <c r="E705" s="567">
        <v>20</v>
      </c>
      <c r="F705" s="567">
        <v>20</v>
      </c>
      <c r="G705" s="567">
        <v>126</v>
      </c>
      <c r="H705" s="567">
        <v>1190</v>
      </c>
      <c r="O705" s="568" t="s">
        <v>2229</v>
      </c>
      <c r="P705" s="22">
        <f t="shared" si="30"/>
        <v>5</v>
      </c>
      <c r="Q705" s="22">
        <f t="shared" si="31"/>
        <v>2062</v>
      </c>
      <c r="R705" s="22">
        <f t="shared" si="32"/>
        <v>2066</v>
      </c>
    </row>
    <row r="706" spans="1:18" x14ac:dyDescent="0.2">
      <c r="A706" s="567">
        <v>152</v>
      </c>
      <c r="B706" s="568" t="s">
        <v>895</v>
      </c>
      <c r="C706" s="568" t="s">
        <v>897</v>
      </c>
      <c r="D706" s="567">
        <v>237</v>
      </c>
      <c r="E706" s="567">
        <v>20</v>
      </c>
      <c r="F706" s="567">
        <v>20</v>
      </c>
      <c r="G706" s="567">
        <v>126</v>
      </c>
      <c r="H706" s="567">
        <v>1190</v>
      </c>
      <c r="O706" s="568" t="s">
        <v>3007</v>
      </c>
      <c r="P706" s="22">
        <f t="shared" si="30"/>
        <v>3</v>
      </c>
      <c r="Q706" s="22">
        <f t="shared" si="31"/>
        <v>2067</v>
      </c>
      <c r="R706" s="22">
        <f t="shared" si="32"/>
        <v>2069</v>
      </c>
    </row>
    <row r="707" spans="1:18" x14ac:dyDescent="0.2">
      <c r="A707" s="567">
        <v>153</v>
      </c>
      <c r="B707" s="568" t="s">
        <v>895</v>
      </c>
      <c r="C707" s="568" t="s">
        <v>898</v>
      </c>
      <c r="D707" s="567">
        <v>238</v>
      </c>
      <c r="E707" s="567">
        <v>20</v>
      </c>
      <c r="F707" s="567">
        <v>20</v>
      </c>
      <c r="G707" s="567">
        <v>126</v>
      </c>
      <c r="H707" s="567">
        <v>1190</v>
      </c>
      <c r="O707" s="568" t="s">
        <v>700</v>
      </c>
      <c r="P707" s="22">
        <f t="shared" si="30"/>
        <v>6</v>
      </c>
      <c r="Q707" s="22">
        <f t="shared" si="31"/>
        <v>2070</v>
      </c>
      <c r="R707" s="22">
        <f t="shared" si="32"/>
        <v>2075</v>
      </c>
    </row>
    <row r="708" spans="1:18" x14ac:dyDescent="0.2">
      <c r="A708" s="567">
        <v>1148</v>
      </c>
      <c r="B708" s="568" t="s">
        <v>1360</v>
      </c>
      <c r="C708" s="568" t="s">
        <v>1360</v>
      </c>
      <c r="D708" s="567">
        <v>2995</v>
      </c>
      <c r="E708" s="567">
        <v>12</v>
      </c>
      <c r="F708" s="567">
        <v>1</v>
      </c>
      <c r="G708" s="567">
        <v>226</v>
      </c>
      <c r="H708" s="567">
        <v>2130</v>
      </c>
      <c r="O708" s="568" t="s">
        <v>1738</v>
      </c>
      <c r="P708" s="22">
        <f t="shared" si="30"/>
        <v>4</v>
      </c>
      <c r="Q708" s="22">
        <f t="shared" si="31"/>
        <v>2076</v>
      </c>
      <c r="R708" s="22">
        <f t="shared" si="32"/>
        <v>2079</v>
      </c>
    </row>
    <row r="709" spans="1:18" x14ac:dyDescent="0.2">
      <c r="A709" s="567">
        <v>2803</v>
      </c>
      <c r="B709" s="568" t="s">
        <v>2621</v>
      </c>
      <c r="C709" s="568" t="s">
        <v>2621</v>
      </c>
      <c r="D709" s="567">
        <v>8030</v>
      </c>
      <c r="E709" s="567">
        <v>16</v>
      </c>
      <c r="F709" s="567">
        <v>16</v>
      </c>
      <c r="G709" s="567">
        <v>417</v>
      </c>
      <c r="H709" s="567">
        <v>4100</v>
      </c>
      <c r="O709" s="568" t="s">
        <v>964</v>
      </c>
      <c r="P709" s="22">
        <f t="shared" si="30"/>
        <v>1</v>
      </c>
      <c r="Q709" s="22">
        <f t="shared" si="31"/>
        <v>2080</v>
      </c>
      <c r="R709" s="22">
        <f t="shared" si="32"/>
        <v>2080</v>
      </c>
    </row>
    <row r="710" spans="1:18" x14ac:dyDescent="0.2">
      <c r="A710" s="567">
        <v>872</v>
      </c>
      <c r="B710" s="568" t="s">
        <v>448</v>
      </c>
      <c r="C710" s="568" t="s">
        <v>448</v>
      </c>
      <c r="D710" s="567">
        <v>2210</v>
      </c>
      <c r="E710" s="567">
        <v>16</v>
      </c>
      <c r="F710" s="567">
        <v>14</v>
      </c>
      <c r="G710" s="567">
        <v>117</v>
      </c>
      <c r="H710" s="567">
        <v>1130</v>
      </c>
      <c r="O710" s="568" t="s">
        <v>370</v>
      </c>
      <c r="P710" s="22">
        <f t="shared" si="30"/>
        <v>10</v>
      </c>
      <c r="Q710" s="22">
        <f t="shared" si="31"/>
        <v>2081</v>
      </c>
      <c r="R710" s="22">
        <f t="shared" si="32"/>
        <v>2090</v>
      </c>
    </row>
    <row r="711" spans="1:18" x14ac:dyDescent="0.2">
      <c r="A711" s="567">
        <v>2061</v>
      </c>
      <c r="B711" s="568" t="s">
        <v>2365</v>
      </c>
      <c r="C711" s="568" t="s">
        <v>2365</v>
      </c>
      <c r="D711" s="567">
        <v>5870</v>
      </c>
      <c r="E711" s="567">
        <v>14</v>
      </c>
      <c r="F711" s="567">
        <v>17</v>
      </c>
      <c r="G711" s="567">
        <v>325</v>
      </c>
      <c r="H711" s="567">
        <v>3160</v>
      </c>
      <c r="O711" s="568" t="s">
        <v>495</v>
      </c>
      <c r="P711" s="22">
        <f t="shared" si="30"/>
        <v>3</v>
      </c>
      <c r="Q711" s="22">
        <f t="shared" si="31"/>
        <v>2091</v>
      </c>
      <c r="R711" s="22">
        <f t="shared" si="32"/>
        <v>2093</v>
      </c>
    </row>
    <row r="712" spans="1:18" x14ac:dyDescent="0.2">
      <c r="A712" s="567">
        <v>2062</v>
      </c>
      <c r="B712" s="568" t="s">
        <v>2365</v>
      </c>
      <c r="C712" s="568" t="s">
        <v>2366</v>
      </c>
      <c r="D712" s="567">
        <v>5871</v>
      </c>
      <c r="E712" s="567">
        <v>14</v>
      </c>
      <c r="F712" s="567">
        <v>17</v>
      </c>
      <c r="G712" s="567">
        <v>325</v>
      </c>
      <c r="H712" s="567">
        <v>3160</v>
      </c>
      <c r="O712" s="568" t="s">
        <v>1566</v>
      </c>
      <c r="P712" s="22">
        <f t="shared" si="30"/>
        <v>2</v>
      </c>
      <c r="Q712" s="22">
        <f t="shared" si="31"/>
        <v>2094</v>
      </c>
      <c r="R712" s="22">
        <f t="shared" si="32"/>
        <v>2095</v>
      </c>
    </row>
    <row r="713" spans="1:18" x14ac:dyDescent="0.2">
      <c r="A713" s="567">
        <v>2063</v>
      </c>
      <c r="B713" s="568" t="s">
        <v>2365</v>
      </c>
      <c r="C713" s="568" t="s">
        <v>2367</v>
      </c>
      <c r="D713" s="567">
        <v>5872</v>
      </c>
      <c r="E713" s="567">
        <v>14</v>
      </c>
      <c r="F713" s="567">
        <v>17</v>
      </c>
      <c r="G713" s="567">
        <v>325</v>
      </c>
      <c r="H713" s="567">
        <v>3160</v>
      </c>
      <c r="O713" s="568" t="s">
        <v>610</v>
      </c>
      <c r="P713" s="22">
        <f t="shared" si="30"/>
        <v>2</v>
      </c>
      <c r="Q713" s="22">
        <f t="shared" si="31"/>
        <v>2096</v>
      </c>
      <c r="R713" s="22">
        <f t="shared" si="32"/>
        <v>2097</v>
      </c>
    </row>
    <row r="714" spans="1:18" x14ac:dyDescent="0.2">
      <c r="A714" s="567">
        <v>1733</v>
      </c>
      <c r="B714" s="568" t="s">
        <v>2241</v>
      </c>
      <c r="C714" s="568" t="s">
        <v>2241</v>
      </c>
      <c r="D714" s="567">
        <v>4730</v>
      </c>
      <c r="E714" s="567">
        <v>21</v>
      </c>
      <c r="F714" s="567">
        <v>3</v>
      </c>
      <c r="G714" s="567">
        <v>317</v>
      </c>
      <c r="H714" s="567">
        <v>3140</v>
      </c>
      <c r="O714" s="568" t="s">
        <v>2138</v>
      </c>
      <c r="P714" s="22">
        <f t="shared" si="30"/>
        <v>1</v>
      </c>
      <c r="Q714" s="22">
        <f t="shared" si="31"/>
        <v>2098</v>
      </c>
      <c r="R714" s="22">
        <f t="shared" si="32"/>
        <v>2098</v>
      </c>
    </row>
    <row r="715" spans="1:18" x14ac:dyDescent="0.2">
      <c r="A715" s="567">
        <v>1734</v>
      </c>
      <c r="B715" s="568" t="s">
        <v>2241</v>
      </c>
      <c r="C715" s="568" t="s">
        <v>2244</v>
      </c>
      <c r="D715" s="567">
        <v>4731</v>
      </c>
      <c r="E715" s="567">
        <v>21</v>
      </c>
      <c r="F715" s="567">
        <v>3</v>
      </c>
      <c r="G715" s="567">
        <v>317</v>
      </c>
      <c r="H715" s="567">
        <v>3140</v>
      </c>
      <c r="O715" s="568" t="s">
        <v>875</v>
      </c>
      <c r="P715" s="22">
        <f t="shared" si="30"/>
        <v>1</v>
      </c>
      <c r="Q715" s="22">
        <f t="shared" si="31"/>
        <v>2099</v>
      </c>
      <c r="R715" s="22">
        <f t="shared" si="32"/>
        <v>2099</v>
      </c>
    </row>
    <row r="716" spans="1:18" x14ac:dyDescent="0.2">
      <c r="A716" s="567">
        <v>2187</v>
      </c>
      <c r="B716" s="568" t="s">
        <v>2454</v>
      </c>
      <c r="C716" s="568" t="s">
        <v>2454</v>
      </c>
      <c r="D716" s="567">
        <v>6280</v>
      </c>
      <c r="E716" s="567">
        <v>11</v>
      </c>
      <c r="F716" s="567">
        <v>16</v>
      </c>
      <c r="G716" s="567">
        <v>327</v>
      </c>
      <c r="H716" s="567">
        <v>3170</v>
      </c>
      <c r="O716" s="568" t="s">
        <v>701</v>
      </c>
      <c r="P716" s="22">
        <f t="shared" si="30"/>
        <v>1</v>
      </c>
      <c r="Q716" s="22">
        <f t="shared" si="31"/>
        <v>2100</v>
      </c>
      <c r="R716" s="22">
        <f t="shared" si="32"/>
        <v>2100</v>
      </c>
    </row>
    <row r="717" spans="1:18" x14ac:dyDescent="0.2">
      <c r="A717" s="567">
        <v>2193</v>
      </c>
      <c r="B717" s="568" t="s">
        <v>2457</v>
      </c>
      <c r="C717" s="568" t="s">
        <v>2457</v>
      </c>
      <c r="D717" s="567">
        <v>6315</v>
      </c>
      <c r="E717" s="567">
        <v>12</v>
      </c>
      <c r="F717" s="567">
        <v>16</v>
      </c>
      <c r="G717" s="567">
        <v>327</v>
      </c>
      <c r="H717" s="567">
        <v>3170</v>
      </c>
      <c r="O717" s="568" t="s">
        <v>810</v>
      </c>
      <c r="P717" s="22">
        <f t="shared" si="30"/>
        <v>6</v>
      </c>
      <c r="Q717" s="22">
        <f t="shared" si="31"/>
        <v>2101</v>
      </c>
      <c r="R717" s="22">
        <f t="shared" si="32"/>
        <v>2106</v>
      </c>
    </row>
    <row r="718" spans="1:18" x14ac:dyDescent="0.2">
      <c r="A718" s="567">
        <v>907</v>
      </c>
      <c r="B718" s="568" t="s">
        <v>65</v>
      </c>
      <c r="C718" s="568" t="s">
        <v>65</v>
      </c>
      <c r="D718" s="567">
        <v>2330</v>
      </c>
      <c r="E718" s="567">
        <v>15</v>
      </c>
      <c r="F718" s="567">
        <v>18</v>
      </c>
      <c r="G718" s="567">
        <v>136</v>
      </c>
      <c r="H718" s="567">
        <v>1101</v>
      </c>
      <c r="O718" s="568" t="s">
        <v>2631</v>
      </c>
      <c r="P718" s="22">
        <f t="shared" si="30"/>
        <v>1</v>
      </c>
      <c r="Q718" s="22">
        <f t="shared" si="31"/>
        <v>2107</v>
      </c>
      <c r="R718" s="22">
        <f t="shared" si="32"/>
        <v>2107</v>
      </c>
    </row>
    <row r="719" spans="1:18" x14ac:dyDescent="0.2">
      <c r="A719" s="567">
        <v>3030</v>
      </c>
      <c r="B719" s="568" t="s">
        <v>2708</v>
      </c>
      <c r="C719" s="568" t="s">
        <v>2284</v>
      </c>
      <c r="D719" s="567">
        <v>8702</v>
      </c>
      <c r="E719" s="567">
        <v>35</v>
      </c>
      <c r="F719" s="567">
        <v>11</v>
      </c>
      <c r="G719" s="567">
        <v>426</v>
      </c>
      <c r="H719" s="567">
        <v>4110</v>
      </c>
      <c r="O719" s="568" t="s">
        <v>1384</v>
      </c>
      <c r="P719" s="22">
        <f t="shared" ref="P719:P782" si="33">COUNTIF($B$13:$B$3400,O719)</f>
        <v>1</v>
      </c>
      <c r="Q719" s="22">
        <f t="shared" si="31"/>
        <v>2108</v>
      </c>
      <c r="R719" s="22">
        <f t="shared" si="32"/>
        <v>2108</v>
      </c>
    </row>
    <row r="720" spans="1:18" x14ac:dyDescent="0.2">
      <c r="A720" s="567">
        <v>3029</v>
      </c>
      <c r="B720" s="568" t="s">
        <v>2708</v>
      </c>
      <c r="C720" s="568" t="s">
        <v>2713</v>
      </c>
      <c r="D720" s="567">
        <v>8701</v>
      </c>
      <c r="E720" s="567">
        <v>35</v>
      </c>
      <c r="F720" s="567">
        <v>11</v>
      </c>
      <c r="G720" s="567">
        <v>426</v>
      </c>
      <c r="H720" s="567">
        <v>4110</v>
      </c>
      <c r="O720" s="568" t="s">
        <v>815</v>
      </c>
      <c r="P720" s="22">
        <f t="shared" si="33"/>
        <v>1</v>
      </c>
      <c r="Q720" s="22">
        <f t="shared" si="31"/>
        <v>2109</v>
      </c>
      <c r="R720" s="22">
        <f t="shared" si="32"/>
        <v>2109</v>
      </c>
    </row>
    <row r="721" spans="1:18" x14ac:dyDescent="0.2">
      <c r="A721" s="567">
        <v>3028</v>
      </c>
      <c r="B721" s="568" t="s">
        <v>2708</v>
      </c>
      <c r="C721" s="568" t="s">
        <v>2708</v>
      </c>
      <c r="D721" s="567">
        <v>8700</v>
      </c>
      <c r="E721" s="567">
        <v>35</v>
      </c>
      <c r="F721" s="567">
        <v>11</v>
      </c>
      <c r="G721" s="567">
        <v>426</v>
      </c>
      <c r="H721" s="567">
        <v>4110</v>
      </c>
      <c r="O721" s="568" t="s">
        <v>1334</v>
      </c>
      <c r="P721" s="22">
        <f t="shared" si="33"/>
        <v>2</v>
      </c>
      <c r="Q721" s="22">
        <f t="shared" ref="Q721:Q784" si="34">R720+1</f>
        <v>2110</v>
      </c>
      <c r="R721" s="22">
        <f t="shared" ref="R721:R784" si="35">R720+P721</f>
        <v>2111</v>
      </c>
    </row>
    <row r="722" spans="1:18" x14ac:dyDescent="0.2">
      <c r="A722" s="567">
        <v>1341</v>
      </c>
      <c r="B722" s="568" t="s">
        <v>1131</v>
      </c>
      <c r="C722" s="568" t="s">
        <v>1131</v>
      </c>
      <c r="D722" s="567">
        <v>3650</v>
      </c>
      <c r="E722" s="567">
        <v>9</v>
      </c>
      <c r="F722" s="567">
        <v>3</v>
      </c>
      <c r="G722" s="567">
        <v>216</v>
      </c>
      <c r="H722" s="567">
        <v>2100</v>
      </c>
      <c r="O722" s="568" t="s">
        <v>3186</v>
      </c>
      <c r="P722" s="22">
        <f t="shared" si="33"/>
        <v>1</v>
      </c>
      <c r="Q722" s="22">
        <f t="shared" si="34"/>
        <v>2112</v>
      </c>
      <c r="R722" s="22">
        <f t="shared" si="35"/>
        <v>2112</v>
      </c>
    </row>
    <row r="723" spans="1:18" x14ac:dyDescent="0.2">
      <c r="A723" s="567">
        <v>1342</v>
      </c>
      <c r="B723" s="568" t="s">
        <v>1131</v>
      </c>
      <c r="C723" s="568" t="s">
        <v>1132</v>
      </c>
      <c r="D723" s="567">
        <v>3651</v>
      </c>
      <c r="E723" s="567">
        <v>9</v>
      </c>
      <c r="F723" s="567">
        <v>3</v>
      </c>
      <c r="G723" s="567">
        <v>216</v>
      </c>
      <c r="H723" s="567">
        <v>2100</v>
      </c>
      <c r="O723" s="568" t="s">
        <v>56</v>
      </c>
      <c r="P723" s="22">
        <f t="shared" si="33"/>
        <v>1</v>
      </c>
      <c r="Q723" s="22">
        <f t="shared" si="34"/>
        <v>2113</v>
      </c>
      <c r="R723" s="22">
        <f t="shared" si="35"/>
        <v>2113</v>
      </c>
    </row>
    <row r="724" spans="1:18" x14ac:dyDescent="0.2">
      <c r="A724" s="567">
        <v>851</v>
      </c>
      <c r="B724" s="568" t="s">
        <v>425</v>
      </c>
      <c r="C724" s="568" t="s">
        <v>425</v>
      </c>
      <c r="D724" s="567">
        <v>2145</v>
      </c>
      <c r="E724" s="567">
        <v>17</v>
      </c>
      <c r="F724" s="567">
        <v>18</v>
      </c>
      <c r="G724" s="567">
        <v>117</v>
      </c>
      <c r="H724" s="567">
        <v>1130</v>
      </c>
      <c r="O724" s="568" t="s">
        <v>2148</v>
      </c>
      <c r="P724" s="22">
        <f t="shared" si="33"/>
        <v>1</v>
      </c>
      <c r="Q724" s="22">
        <f t="shared" si="34"/>
        <v>2114</v>
      </c>
      <c r="R724" s="22">
        <f t="shared" si="35"/>
        <v>2114</v>
      </c>
    </row>
    <row r="725" spans="1:18" x14ac:dyDescent="0.2">
      <c r="A725" s="567">
        <v>3041</v>
      </c>
      <c r="B725" s="568" t="s">
        <v>425</v>
      </c>
      <c r="C725" s="568" t="s">
        <v>425</v>
      </c>
      <c r="D725" s="567">
        <v>8755</v>
      </c>
      <c r="E725" s="567">
        <v>36</v>
      </c>
      <c r="F725" s="567">
        <v>11</v>
      </c>
      <c r="G725" s="567">
        <v>426</v>
      </c>
      <c r="H725" s="567">
        <v>4110</v>
      </c>
      <c r="O725" s="568" t="s">
        <v>1282</v>
      </c>
      <c r="P725" s="22">
        <f t="shared" si="33"/>
        <v>2</v>
      </c>
      <c r="Q725" s="22">
        <f t="shared" si="34"/>
        <v>2115</v>
      </c>
      <c r="R725" s="22">
        <f t="shared" si="35"/>
        <v>2116</v>
      </c>
    </row>
    <row r="726" spans="1:18" x14ac:dyDescent="0.2">
      <c r="A726" s="567">
        <v>2629</v>
      </c>
      <c r="B726" s="568" t="s">
        <v>2999</v>
      </c>
      <c r="C726" s="568" t="s">
        <v>2999</v>
      </c>
      <c r="D726" s="567">
        <v>7545</v>
      </c>
      <c r="E726" s="567">
        <v>11</v>
      </c>
      <c r="F726" s="567">
        <v>2</v>
      </c>
      <c r="G726" s="567">
        <v>416</v>
      </c>
      <c r="H726" s="567">
        <v>4140</v>
      </c>
      <c r="O726" s="568" t="s">
        <v>2116</v>
      </c>
      <c r="P726" s="22">
        <f t="shared" si="33"/>
        <v>10</v>
      </c>
      <c r="Q726" s="22">
        <f t="shared" si="34"/>
        <v>2117</v>
      </c>
      <c r="R726" s="22">
        <f t="shared" si="35"/>
        <v>2126</v>
      </c>
    </row>
    <row r="727" spans="1:18" x14ac:dyDescent="0.2">
      <c r="A727" s="567">
        <v>3234</v>
      </c>
      <c r="B727" s="568" t="s">
        <v>2846</v>
      </c>
      <c r="C727" s="568" t="s">
        <v>2846</v>
      </c>
      <c r="D727" s="567">
        <v>9350</v>
      </c>
      <c r="E727" s="567">
        <v>24</v>
      </c>
      <c r="F727" s="567">
        <v>11</v>
      </c>
      <c r="G727" s="567">
        <v>436</v>
      </c>
      <c r="H727" s="567">
        <v>4120</v>
      </c>
      <c r="O727" s="568" t="s">
        <v>110</v>
      </c>
      <c r="P727" s="22">
        <f t="shared" si="33"/>
        <v>1</v>
      </c>
      <c r="Q727" s="22">
        <f t="shared" si="34"/>
        <v>2127</v>
      </c>
      <c r="R727" s="22">
        <f t="shared" si="35"/>
        <v>2127</v>
      </c>
    </row>
    <row r="728" spans="1:18" x14ac:dyDescent="0.2">
      <c r="A728" s="567">
        <v>1155</v>
      </c>
      <c r="B728" s="568" t="s">
        <v>900</v>
      </c>
      <c r="C728" s="568" t="s">
        <v>900</v>
      </c>
      <c r="D728" s="567">
        <v>3025</v>
      </c>
      <c r="E728" s="567">
        <v>13</v>
      </c>
      <c r="F728" s="567">
        <v>19</v>
      </c>
      <c r="G728" s="567">
        <v>226</v>
      </c>
      <c r="H728" s="567">
        <v>2130</v>
      </c>
      <c r="O728" s="568" t="s">
        <v>3261</v>
      </c>
      <c r="P728" s="22">
        <f t="shared" si="33"/>
        <v>2</v>
      </c>
      <c r="Q728" s="22">
        <f t="shared" si="34"/>
        <v>2128</v>
      </c>
      <c r="R728" s="22">
        <f t="shared" si="35"/>
        <v>2129</v>
      </c>
    </row>
    <row r="729" spans="1:18" x14ac:dyDescent="0.2">
      <c r="A729" s="567">
        <v>1156</v>
      </c>
      <c r="B729" s="568" t="s">
        <v>900</v>
      </c>
      <c r="C729" s="568" t="s">
        <v>1395</v>
      </c>
      <c r="D729" s="567">
        <v>3026</v>
      </c>
      <c r="E729" s="567">
        <v>13</v>
      </c>
      <c r="F729" s="567">
        <v>19</v>
      </c>
      <c r="G729" s="567">
        <v>226</v>
      </c>
      <c r="H729" s="567">
        <v>2130</v>
      </c>
      <c r="O729" s="568" t="s">
        <v>2381</v>
      </c>
      <c r="P729" s="22">
        <f t="shared" si="33"/>
        <v>7</v>
      </c>
      <c r="Q729" s="22">
        <f t="shared" si="34"/>
        <v>2130</v>
      </c>
      <c r="R729" s="22">
        <f t="shared" si="35"/>
        <v>2136</v>
      </c>
    </row>
    <row r="730" spans="1:18" x14ac:dyDescent="0.2">
      <c r="A730" s="567">
        <v>1160</v>
      </c>
      <c r="B730" s="568" t="s">
        <v>900</v>
      </c>
      <c r="C730" s="568" t="s">
        <v>1404</v>
      </c>
      <c r="D730" s="567">
        <v>3030</v>
      </c>
      <c r="E730" s="567">
        <v>13</v>
      </c>
      <c r="F730" s="567">
        <v>19</v>
      </c>
      <c r="G730" s="567">
        <v>226</v>
      </c>
      <c r="H730" s="567">
        <v>2130</v>
      </c>
      <c r="O730" s="568" t="s">
        <v>2630</v>
      </c>
      <c r="P730" s="22">
        <f t="shared" si="33"/>
        <v>1</v>
      </c>
      <c r="Q730" s="22">
        <f t="shared" si="34"/>
        <v>2137</v>
      </c>
      <c r="R730" s="22">
        <f t="shared" si="35"/>
        <v>2137</v>
      </c>
    </row>
    <row r="731" spans="1:18" x14ac:dyDescent="0.2">
      <c r="A731" s="567">
        <v>1159</v>
      </c>
      <c r="B731" s="568" t="s">
        <v>900</v>
      </c>
      <c r="C731" s="568" t="s">
        <v>1405</v>
      </c>
      <c r="D731" s="567">
        <v>3029</v>
      </c>
      <c r="E731" s="567">
        <v>13</v>
      </c>
      <c r="F731" s="567">
        <v>19</v>
      </c>
      <c r="G731" s="567">
        <v>226</v>
      </c>
      <c r="H731" s="567">
        <v>2130</v>
      </c>
      <c r="O731" s="568" t="s">
        <v>1647</v>
      </c>
      <c r="P731" s="22">
        <f t="shared" si="33"/>
        <v>4</v>
      </c>
      <c r="Q731" s="22">
        <f t="shared" si="34"/>
        <v>2138</v>
      </c>
      <c r="R731" s="22">
        <f t="shared" si="35"/>
        <v>2141</v>
      </c>
    </row>
    <row r="732" spans="1:18" x14ac:dyDescent="0.2">
      <c r="A732" s="567">
        <v>1158</v>
      </c>
      <c r="B732" s="568" t="s">
        <v>900</v>
      </c>
      <c r="C732" s="568" t="s">
        <v>123</v>
      </c>
      <c r="D732" s="567">
        <v>3028</v>
      </c>
      <c r="E732" s="567">
        <v>13</v>
      </c>
      <c r="F732" s="567">
        <v>19</v>
      </c>
      <c r="G732" s="567">
        <v>226</v>
      </c>
      <c r="H732" s="567">
        <v>2130</v>
      </c>
      <c r="O732" s="568" t="s">
        <v>1876</v>
      </c>
      <c r="P732" s="22">
        <f t="shared" si="33"/>
        <v>4</v>
      </c>
      <c r="Q732" s="22">
        <f t="shared" si="34"/>
        <v>2142</v>
      </c>
      <c r="R732" s="22">
        <f t="shared" si="35"/>
        <v>2145</v>
      </c>
    </row>
    <row r="733" spans="1:18" x14ac:dyDescent="0.2">
      <c r="A733" s="567">
        <v>1157</v>
      </c>
      <c r="B733" s="568" t="s">
        <v>900</v>
      </c>
      <c r="C733" s="568" t="s">
        <v>1406</v>
      </c>
      <c r="D733" s="567">
        <v>3027</v>
      </c>
      <c r="E733" s="567">
        <v>13</v>
      </c>
      <c r="F733" s="567">
        <v>19</v>
      </c>
      <c r="G733" s="567">
        <v>226</v>
      </c>
      <c r="H733" s="567">
        <v>2130</v>
      </c>
      <c r="O733" s="568" t="s">
        <v>728</v>
      </c>
      <c r="P733" s="22">
        <f t="shared" si="33"/>
        <v>1</v>
      </c>
      <c r="Q733" s="22">
        <f t="shared" si="34"/>
        <v>2146</v>
      </c>
      <c r="R733" s="22">
        <f t="shared" si="35"/>
        <v>2146</v>
      </c>
    </row>
    <row r="734" spans="1:18" x14ac:dyDescent="0.2">
      <c r="A734" s="567">
        <v>532</v>
      </c>
      <c r="B734" s="568" t="s">
        <v>727</v>
      </c>
      <c r="C734" s="568" t="s">
        <v>726</v>
      </c>
      <c r="D734" s="567">
        <v>1086</v>
      </c>
      <c r="E734" s="567">
        <v>12</v>
      </c>
      <c r="F734" s="567">
        <v>2</v>
      </c>
      <c r="G734" s="567">
        <v>118</v>
      </c>
      <c r="H734" s="567">
        <v>1170</v>
      </c>
      <c r="O734" s="568" t="s">
        <v>1093</v>
      </c>
      <c r="P734" s="22">
        <f t="shared" si="33"/>
        <v>2</v>
      </c>
      <c r="Q734" s="22">
        <f t="shared" si="34"/>
        <v>2147</v>
      </c>
      <c r="R734" s="22">
        <f t="shared" si="35"/>
        <v>2148</v>
      </c>
    </row>
    <row r="735" spans="1:18" x14ac:dyDescent="0.2">
      <c r="A735" s="567">
        <v>531</v>
      </c>
      <c r="B735" s="568" t="s">
        <v>727</v>
      </c>
      <c r="C735" s="568" t="s">
        <v>727</v>
      </c>
      <c r="D735" s="567">
        <v>1085</v>
      </c>
      <c r="E735" s="567">
        <v>12</v>
      </c>
      <c r="F735" s="567">
        <v>2</v>
      </c>
      <c r="G735" s="567">
        <v>118</v>
      </c>
      <c r="H735" s="567">
        <v>1170</v>
      </c>
      <c r="O735" s="568" t="s">
        <v>1079</v>
      </c>
      <c r="P735" s="22">
        <f t="shared" si="33"/>
        <v>4</v>
      </c>
      <c r="Q735" s="22">
        <f t="shared" si="34"/>
        <v>2149</v>
      </c>
      <c r="R735" s="22">
        <f t="shared" si="35"/>
        <v>2152</v>
      </c>
    </row>
    <row r="736" spans="1:18" x14ac:dyDescent="0.2">
      <c r="A736" s="567">
        <v>533</v>
      </c>
      <c r="B736" s="568" t="s">
        <v>727</v>
      </c>
      <c r="C736" s="568" t="s">
        <v>754</v>
      </c>
      <c r="D736" s="567">
        <v>1087</v>
      </c>
      <c r="E736" s="567">
        <v>12</v>
      </c>
      <c r="F736" s="567">
        <v>2</v>
      </c>
      <c r="G736" s="567">
        <v>118</v>
      </c>
      <c r="H736" s="567">
        <v>1170</v>
      </c>
      <c r="O736" s="568" t="s">
        <v>3198</v>
      </c>
      <c r="P736" s="22">
        <f t="shared" si="33"/>
        <v>4</v>
      </c>
      <c r="Q736" s="22">
        <f t="shared" si="34"/>
        <v>2153</v>
      </c>
      <c r="R736" s="22">
        <f t="shared" si="35"/>
        <v>2156</v>
      </c>
    </row>
    <row r="737" spans="1:18" x14ac:dyDescent="0.2">
      <c r="A737" s="567">
        <v>3069</v>
      </c>
      <c r="B737" s="568" t="s">
        <v>2731</v>
      </c>
      <c r="C737" s="568" t="s">
        <v>445</v>
      </c>
      <c r="D737" s="567">
        <v>8852</v>
      </c>
      <c r="E737" s="567">
        <v>38</v>
      </c>
      <c r="F737" s="567">
        <v>11</v>
      </c>
      <c r="G737" s="567">
        <v>426</v>
      </c>
      <c r="H737" s="567">
        <v>4110</v>
      </c>
      <c r="O737" s="568" t="s">
        <v>782</v>
      </c>
      <c r="P737" s="22">
        <f t="shared" si="33"/>
        <v>2</v>
      </c>
      <c r="Q737" s="22">
        <f t="shared" si="34"/>
        <v>2157</v>
      </c>
      <c r="R737" s="22">
        <f t="shared" si="35"/>
        <v>2158</v>
      </c>
    </row>
    <row r="738" spans="1:18" x14ac:dyDescent="0.2">
      <c r="A738" s="567">
        <v>3070</v>
      </c>
      <c r="B738" s="568" t="s">
        <v>2731</v>
      </c>
      <c r="C738" s="568" t="s">
        <v>2749</v>
      </c>
      <c r="D738" s="567">
        <v>8853</v>
      </c>
      <c r="E738" s="567">
        <v>38</v>
      </c>
      <c r="F738" s="567">
        <v>11</v>
      </c>
      <c r="G738" s="567">
        <v>426</v>
      </c>
      <c r="H738" s="567">
        <v>4110</v>
      </c>
      <c r="O738" s="568" t="s">
        <v>605</v>
      </c>
      <c r="P738" s="22">
        <f t="shared" si="33"/>
        <v>6</v>
      </c>
      <c r="Q738" s="22">
        <f t="shared" si="34"/>
        <v>2159</v>
      </c>
      <c r="R738" s="22">
        <f t="shared" si="35"/>
        <v>2164</v>
      </c>
    </row>
    <row r="739" spans="1:18" x14ac:dyDescent="0.2">
      <c r="A739" s="567">
        <v>3067</v>
      </c>
      <c r="B739" s="568" t="s">
        <v>2731</v>
      </c>
      <c r="C739" s="568" t="s">
        <v>2731</v>
      </c>
      <c r="D739" s="567">
        <v>8850</v>
      </c>
      <c r="E739" s="567">
        <v>38</v>
      </c>
      <c r="F739" s="567">
        <v>11</v>
      </c>
      <c r="G739" s="567">
        <v>426</v>
      </c>
      <c r="H739" s="567">
        <v>4110</v>
      </c>
      <c r="O739" s="568" t="s">
        <v>3166</v>
      </c>
      <c r="P739" s="22">
        <f t="shared" si="33"/>
        <v>1</v>
      </c>
      <c r="Q739" s="22">
        <f t="shared" si="34"/>
        <v>2165</v>
      </c>
      <c r="R739" s="22">
        <f t="shared" si="35"/>
        <v>2165</v>
      </c>
    </row>
    <row r="740" spans="1:18" x14ac:dyDescent="0.2">
      <c r="A740" s="567">
        <v>3068</v>
      </c>
      <c r="B740" s="568" t="s">
        <v>2731</v>
      </c>
      <c r="C740" s="568" t="s">
        <v>2765</v>
      </c>
      <c r="D740" s="567">
        <v>8851</v>
      </c>
      <c r="E740" s="567">
        <v>38</v>
      </c>
      <c r="F740" s="567">
        <v>11</v>
      </c>
      <c r="G740" s="567">
        <v>426</v>
      </c>
      <c r="H740" s="567">
        <v>4110</v>
      </c>
      <c r="O740" s="568" t="s">
        <v>2167</v>
      </c>
      <c r="P740" s="22">
        <f t="shared" si="33"/>
        <v>1</v>
      </c>
      <c r="Q740" s="22">
        <f t="shared" si="34"/>
        <v>2166</v>
      </c>
      <c r="R740" s="22">
        <f t="shared" si="35"/>
        <v>2166</v>
      </c>
    </row>
    <row r="741" spans="1:18" x14ac:dyDescent="0.2">
      <c r="A741" s="567">
        <v>814</v>
      </c>
      <c r="B741" s="568" t="s">
        <v>411</v>
      </c>
      <c r="C741" s="568" t="s">
        <v>410</v>
      </c>
      <c r="D741" s="567">
        <v>2011</v>
      </c>
      <c r="E741" s="567">
        <v>18</v>
      </c>
      <c r="F741" s="567">
        <v>18</v>
      </c>
      <c r="G741" s="567">
        <v>117</v>
      </c>
      <c r="H741" s="567">
        <v>1130</v>
      </c>
      <c r="O741" s="568" t="s">
        <v>1492</v>
      </c>
      <c r="P741" s="22">
        <f t="shared" si="33"/>
        <v>3</v>
      </c>
      <c r="Q741" s="22">
        <f t="shared" si="34"/>
        <v>2167</v>
      </c>
      <c r="R741" s="22">
        <f t="shared" si="35"/>
        <v>2169</v>
      </c>
    </row>
    <row r="742" spans="1:18" x14ac:dyDescent="0.2">
      <c r="A742" s="567">
        <v>815</v>
      </c>
      <c r="B742" s="568" t="s">
        <v>411</v>
      </c>
      <c r="C742" s="568" t="s">
        <v>418</v>
      </c>
      <c r="D742" s="567">
        <v>2012</v>
      </c>
      <c r="E742" s="567">
        <v>18</v>
      </c>
      <c r="F742" s="567">
        <v>18</v>
      </c>
      <c r="G742" s="567">
        <v>117</v>
      </c>
      <c r="H742" s="567">
        <v>1130</v>
      </c>
      <c r="O742" s="568" t="s">
        <v>2738</v>
      </c>
      <c r="P742" s="22">
        <f t="shared" si="33"/>
        <v>3</v>
      </c>
      <c r="Q742" s="22">
        <f t="shared" si="34"/>
        <v>2170</v>
      </c>
      <c r="R742" s="22">
        <f t="shared" si="35"/>
        <v>2172</v>
      </c>
    </row>
    <row r="743" spans="1:18" x14ac:dyDescent="0.2">
      <c r="A743" s="567">
        <v>813</v>
      </c>
      <c r="B743" s="568" t="s">
        <v>411</v>
      </c>
      <c r="C743" s="568" t="s">
        <v>419</v>
      </c>
      <c r="D743" s="567">
        <v>2010</v>
      </c>
      <c r="E743" s="567">
        <v>18</v>
      </c>
      <c r="F743" s="567">
        <v>18</v>
      </c>
      <c r="G743" s="567">
        <v>117</v>
      </c>
      <c r="H743" s="567">
        <v>1130</v>
      </c>
      <c r="O743" s="568" t="s">
        <v>536</v>
      </c>
      <c r="P743" s="22">
        <f t="shared" si="33"/>
        <v>2</v>
      </c>
      <c r="Q743" s="22">
        <f t="shared" si="34"/>
        <v>2173</v>
      </c>
      <c r="R743" s="22">
        <f t="shared" si="35"/>
        <v>2174</v>
      </c>
    </row>
    <row r="744" spans="1:18" x14ac:dyDescent="0.2">
      <c r="A744" s="567">
        <v>816</v>
      </c>
      <c r="B744" s="568" t="s">
        <v>411</v>
      </c>
      <c r="C744" s="568" t="s">
        <v>126</v>
      </c>
      <c r="D744" s="567">
        <v>2013</v>
      </c>
      <c r="E744" s="567">
        <v>18</v>
      </c>
      <c r="F744" s="567">
        <v>18</v>
      </c>
      <c r="G744" s="567">
        <v>117</v>
      </c>
      <c r="H744" s="567">
        <v>1130</v>
      </c>
      <c r="O744" s="568" t="s">
        <v>541</v>
      </c>
      <c r="P744" s="22">
        <f t="shared" si="33"/>
        <v>1</v>
      </c>
      <c r="Q744" s="22">
        <f t="shared" si="34"/>
        <v>2175</v>
      </c>
      <c r="R744" s="22">
        <f t="shared" si="35"/>
        <v>2175</v>
      </c>
    </row>
    <row r="745" spans="1:18" x14ac:dyDescent="0.2">
      <c r="A745" s="567">
        <v>3227</v>
      </c>
      <c r="B745" s="568" t="s">
        <v>2854</v>
      </c>
      <c r="C745" s="568" t="s">
        <v>2853</v>
      </c>
      <c r="D745" s="567">
        <v>9292</v>
      </c>
      <c r="E745" s="567">
        <v>93</v>
      </c>
      <c r="F745" s="567">
        <v>11</v>
      </c>
      <c r="G745" s="567">
        <v>436</v>
      </c>
      <c r="H745" s="567">
        <v>4120</v>
      </c>
      <c r="O745" s="568" t="s">
        <v>2227</v>
      </c>
      <c r="P745" s="22">
        <f t="shared" si="33"/>
        <v>12</v>
      </c>
      <c r="Q745" s="22">
        <f t="shared" si="34"/>
        <v>2176</v>
      </c>
      <c r="R745" s="22">
        <f t="shared" si="35"/>
        <v>2187</v>
      </c>
    </row>
    <row r="746" spans="1:18" x14ac:dyDescent="0.2">
      <c r="A746" s="567">
        <v>3226</v>
      </c>
      <c r="B746" s="568" t="s">
        <v>2854</v>
      </c>
      <c r="C746" s="568" t="s">
        <v>419</v>
      </c>
      <c r="D746" s="567">
        <v>9290</v>
      </c>
      <c r="E746" s="567">
        <v>93</v>
      </c>
      <c r="F746" s="567">
        <v>11</v>
      </c>
      <c r="G746" s="567">
        <v>436</v>
      </c>
      <c r="H746" s="567">
        <v>4120</v>
      </c>
      <c r="O746" s="568" t="s">
        <v>2997</v>
      </c>
      <c r="P746" s="22">
        <f t="shared" si="33"/>
        <v>1</v>
      </c>
      <c r="Q746" s="22">
        <f t="shared" si="34"/>
        <v>2188</v>
      </c>
      <c r="R746" s="22">
        <f t="shared" si="35"/>
        <v>2188</v>
      </c>
    </row>
    <row r="747" spans="1:18" x14ac:dyDescent="0.2">
      <c r="A747" s="567">
        <v>420</v>
      </c>
      <c r="B747" s="568" t="s">
        <v>643</v>
      </c>
      <c r="C747" s="568" t="s">
        <v>642</v>
      </c>
      <c r="D747" s="567">
        <v>781</v>
      </c>
      <c r="E747" s="567">
        <v>21</v>
      </c>
      <c r="F747" s="567">
        <v>1</v>
      </c>
      <c r="G747" s="567">
        <v>125</v>
      </c>
      <c r="H747" s="567">
        <v>1150</v>
      </c>
      <c r="O747" s="568" t="s">
        <v>1387</v>
      </c>
      <c r="P747" s="22">
        <f t="shared" si="33"/>
        <v>1</v>
      </c>
      <c r="Q747" s="22">
        <f t="shared" si="34"/>
        <v>2189</v>
      </c>
      <c r="R747" s="22">
        <f t="shared" si="35"/>
        <v>2189</v>
      </c>
    </row>
    <row r="748" spans="1:18" x14ac:dyDescent="0.2">
      <c r="A748" s="567">
        <v>419</v>
      </c>
      <c r="B748" s="568" t="s">
        <v>643</v>
      </c>
      <c r="C748" s="568" t="s">
        <v>643</v>
      </c>
      <c r="D748" s="567">
        <v>780</v>
      </c>
      <c r="E748" s="567">
        <v>21</v>
      </c>
      <c r="F748" s="567">
        <v>1</v>
      </c>
      <c r="G748" s="567">
        <v>125</v>
      </c>
      <c r="H748" s="567">
        <v>1150</v>
      </c>
      <c r="O748" s="568" t="s">
        <v>2763</v>
      </c>
      <c r="P748" s="22">
        <f t="shared" si="33"/>
        <v>1</v>
      </c>
      <c r="Q748" s="22">
        <f t="shared" si="34"/>
        <v>2190</v>
      </c>
      <c r="R748" s="22">
        <f t="shared" si="35"/>
        <v>2190</v>
      </c>
    </row>
    <row r="749" spans="1:18" x14ac:dyDescent="0.2">
      <c r="A749" s="567">
        <v>1562</v>
      </c>
      <c r="B749" s="568" t="s">
        <v>1701</v>
      </c>
      <c r="C749" s="568" t="s">
        <v>1700</v>
      </c>
      <c r="D749" s="567">
        <v>4286</v>
      </c>
      <c r="E749" s="567">
        <v>20</v>
      </c>
      <c r="F749" s="567">
        <v>17</v>
      </c>
      <c r="G749" s="567">
        <v>235</v>
      </c>
      <c r="H749" s="567">
        <v>2160</v>
      </c>
      <c r="O749" s="568" t="s">
        <v>2127</v>
      </c>
      <c r="P749" s="22">
        <f t="shared" si="33"/>
        <v>1</v>
      </c>
      <c r="Q749" s="22">
        <f t="shared" si="34"/>
        <v>2191</v>
      </c>
      <c r="R749" s="22">
        <f t="shared" si="35"/>
        <v>2191</v>
      </c>
    </row>
    <row r="750" spans="1:18" x14ac:dyDescent="0.2">
      <c r="A750" s="567">
        <v>1563</v>
      </c>
      <c r="B750" s="568" t="s">
        <v>1701</v>
      </c>
      <c r="C750" s="568" t="s">
        <v>1708</v>
      </c>
      <c r="D750" s="567">
        <v>4287</v>
      </c>
      <c r="E750" s="567">
        <v>20</v>
      </c>
      <c r="F750" s="567">
        <v>17</v>
      </c>
      <c r="G750" s="567">
        <v>235</v>
      </c>
      <c r="H750" s="567">
        <v>2160</v>
      </c>
      <c r="O750" s="568" t="s">
        <v>826</v>
      </c>
      <c r="P750" s="22">
        <f t="shared" si="33"/>
        <v>1</v>
      </c>
      <c r="Q750" s="22">
        <f t="shared" si="34"/>
        <v>2192</v>
      </c>
      <c r="R750" s="22">
        <f t="shared" si="35"/>
        <v>2192</v>
      </c>
    </row>
    <row r="751" spans="1:18" x14ac:dyDescent="0.2">
      <c r="A751" s="567">
        <v>1561</v>
      </c>
      <c r="B751" s="568" t="s">
        <v>1701</v>
      </c>
      <c r="C751" s="568" t="s">
        <v>1701</v>
      </c>
      <c r="D751" s="567">
        <v>4285</v>
      </c>
      <c r="E751" s="567">
        <v>20</v>
      </c>
      <c r="F751" s="567">
        <v>17</v>
      </c>
      <c r="G751" s="567">
        <v>235</v>
      </c>
      <c r="H751" s="567">
        <v>2160</v>
      </c>
      <c r="O751" s="568" t="s">
        <v>2330</v>
      </c>
      <c r="P751" s="22">
        <f t="shared" si="33"/>
        <v>3</v>
      </c>
      <c r="Q751" s="22">
        <f t="shared" si="34"/>
        <v>2193</v>
      </c>
      <c r="R751" s="22">
        <f t="shared" si="35"/>
        <v>2195</v>
      </c>
    </row>
    <row r="752" spans="1:18" x14ac:dyDescent="0.2">
      <c r="A752" s="567">
        <v>1564</v>
      </c>
      <c r="B752" s="568" t="s">
        <v>1701</v>
      </c>
      <c r="C752" s="568" t="s">
        <v>1713</v>
      </c>
      <c r="D752" s="567">
        <v>4288</v>
      </c>
      <c r="E752" s="567">
        <v>20</v>
      </c>
      <c r="F752" s="567">
        <v>17</v>
      </c>
      <c r="G752" s="567">
        <v>235</v>
      </c>
      <c r="H752" s="567">
        <v>2160</v>
      </c>
      <c r="O752" s="568" t="s">
        <v>910</v>
      </c>
      <c r="P752" s="22">
        <f t="shared" si="33"/>
        <v>10</v>
      </c>
      <c r="Q752" s="22">
        <f t="shared" si="34"/>
        <v>2196</v>
      </c>
      <c r="R752" s="22">
        <f t="shared" si="35"/>
        <v>2205</v>
      </c>
    </row>
    <row r="753" spans="1:18" x14ac:dyDescent="0.2">
      <c r="A753" s="567">
        <v>1911</v>
      </c>
      <c r="B753" s="568" t="s">
        <v>1940</v>
      </c>
      <c r="C753" s="568" t="s">
        <v>1940</v>
      </c>
      <c r="D753" s="567">
        <v>5380</v>
      </c>
      <c r="E753" s="567">
        <v>28</v>
      </c>
      <c r="F753" s="567">
        <v>3</v>
      </c>
      <c r="G753" s="567">
        <v>315</v>
      </c>
      <c r="H753" s="567">
        <v>3120</v>
      </c>
      <c r="O753" s="568" t="s">
        <v>1621</v>
      </c>
      <c r="P753" s="22">
        <f t="shared" si="33"/>
        <v>2</v>
      </c>
      <c r="Q753" s="22">
        <f t="shared" si="34"/>
        <v>2206</v>
      </c>
      <c r="R753" s="22">
        <f t="shared" si="35"/>
        <v>2207</v>
      </c>
    </row>
    <row r="754" spans="1:18" x14ac:dyDescent="0.2">
      <c r="A754" s="567">
        <v>1146</v>
      </c>
      <c r="B754" s="568" t="s">
        <v>1359</v>
      </c>
      <c r="C754" s="568" t="s">
        <v>1358</v>
      </c>
      <c r="D754" s="567">
        <v>2990</v>
      </c>
      <c r="E754" s="567">
        <v>105</v>
      </c>
      <c r="F754" s="567">
        <v>1</v>
      </c>
      <c r="G754" s="567">
        <v>226</v>
      </c>
      <c r="H754" s="567">
        <v>2130</v>
      </c>
      <c r="O754" s="568" t="s">
        <v>3259</v>
      </c>
      <c r="P754" s="22">
        <f t="shared" si="33"/>
        <v>1</v>
      </c>
      <c r="Q754" s="22">
        <f t="shared" si="34"/>
        <v>2208</v>
      </c>
      <c r="R754" s="22">
        <f t="shared" si="35"/>
        <v>2208</v>
      </c>
    </row>
    <row r="755" spans="1:18" x14ac:dyDescent="0.2">
      <c r="A755" s="567">
        <v>1147</v>
      </c>
      <c r="B755" s="568" t="s">
        <v>1359</v>
      </c>
      <c r="C755" s="568" t="s">
        <v>813</v>
      </c>
      <c r="D755" s="567">
        <v>2991</v>
      </c>
      <c r="E755" s="567">
        <v>105</v>
      </c>
      <c r="F755" s="567">
        <v>1</v>
      </c>
      <c r="G755" s="567">
        <v>226</v>
      </c>
      <c r="H755" s="567">
        <v>2130</v>
      </c>
      <c r="O755" s="568" t="s">
        <v>3187</v>
      </c>
      <c r="P755" s="22">
        <f t="shared" si="33"/>
        <v>1</v>
      </c>
      <c r="Q755" s="22">
        <f t="shared" si="34"/>
        <v>2209</v>
      </c>
      <c r="R755" s="22">
        <f t="shared" si="35"/>
        <v>2209</v>
      </c>
    </row>
    <row r="756" spans="1:18" x14ac:dyDescent="0.2">
      <c r="A756" s="567">
        <v>2543</v>
      </c>
      <c r="B756" s="568" t="s">
        <v>2010</v>
      </c>
      <c r="C756" s="568" t="s">
        <v>2009</v>
      </c>
      <c r="D756" s="567">
        <v>7293</v>
      </c>
      <c r="E756" s="567">
        <v>14</v>
      </c>
      <c r="F756" s="567">
        <v>3</v>
      </c>
      <c r="G756" s="567">
        <v>336</v>
      </c>
      <c r="H756" s="567">
        <v>3130</v>
      </c>
      <c r="O756" s="568" t="s">
        <v>2141</v>
      </c>
      <c r="P756" s="22">
        <f t="shared" si="33"/>
        <v>5</v>
      </c>
      <c r="Q756" s="22">
        <f t="shared" si="34"/>
        <v>2210</v>
      </c>
      <c r="R756" s="22">
        <f t="shared" si="35"/>
        <v>2214</v>
      </c>
    </row>
    <row r="757" spans="1:18" x14ac:dyDescent="0.2">
      <c r="A757" s="567">
        <v>2540</v>
      </c>
      <c r="B757" s="568" t="s">
        <v>2010</v>
      </c>
      <c r="C757" s="568" t="s">
        <v>2010</v>
      </c>
      <c r="D757" s="567">
        <v>7290</v>
      </c>
      <c r="E757" s="567">
        <v>14</v>
      </c>
      <c r="F757" s="567">
        <v>3</v>
      </c>
      <c r="G757" s="567">
        <v>336</v>
      </c>
      <c r="H757" s="567">
        <v>3130</v>
      </c>
      <c r="O757" s="568" t="s">
        <v>230</v>
      </c>
      <c r="P757" s="22">
        <f t="shared" si="33"/>
        <v>1</v>
      </c>
      <c r="Q757" s="22">
        <f t="shared" si="34"/>
        <v>2215</v>
      </c>
      <c r="R757" s="22">
        <f t="shared" si="35"/>
        <v>2215</v>
      </c>
    </row>
    <row r="758" spans="1:18" x14ac:dyDescent="0.2">
      <c r="A758" s="567">
        <v>2541</v>
      </c>
      <c r="B758" s="568" t="s">
        <v>2010</v>
      </c>
      <c r="C758" s="568" t="s">
        <v>2013</v>
      </c>
      <c r="D758" s="567">
        <v>7291</v>
      </c>
      <c r="E758" s="567">
        <v>14</v>
      </c>
      <c r="F758" s="567">
        <v>3</v>
      </c>
      <c r="G758" s="567">
        <v>336</v>
      </c>
      <c r="H758" s="567">
        <v>3130</v>
      </c>
      <c r="O758" s="568" t="s">
        <v>2269</v>
      </c>
      <c r="P758" s="22">
        <f t="shared" si="33"/>
        <v>2</v>
      </c>
      <c r="Q758" s="22">
        <f t="shared" si="34"/>
        <v>2216</v>
      </c>
      <c r="R758" s="22">
        <f t="shared" si="35"/>
        <v>2217</v>
      </c>
    </row>
    <row r="759" spans="1:18" x14ac:dyDescent="0.2">
      <c r="A759" s="567">
        <v>2542</v>
      </c>
      <c r="B759" s="568" t="s">
        <v>2010</v>
      </c>
      <c r="C759" s="568" t="s">
        <v>2014</v>
      </c>
      <c r="D759" s="567">
        <v>7292</v>
      </c>
      <c r="E759" s="567">
        <v>14</v>
      </c>
      <c r="F759" s="567">
        <v>3</v>
      </c>
      <c r="G759" s="567">
        <v>336</v>
      </c>
      <c r="H759" s="567">
        <v>3130</v>
      </c>
      <c r="O759" s="568" t="s">
        <v>2210</v>
      </c>
      <c r="P759" s="22">
        <f t="shared" si="33"/>
        <v>1</v>
      </c>
      <c r="Q759" s="22">
        <f t="shared" si="34"/>
        <v>2218</v>
      </c>
      <c r="R759" s="22">
        <f t="shared" si="35"/>
        <v>2218</v>
      </c>
    </row>
    <row r="760" spans="1:18" x14ac:dyDescent="0.2">
      <c r="A760" s="567">
        <v>2544</v>
      </c>
      <c r="B760" s="568" t="s">
        <v>2010</v>
      </c>
      <c r="C760" s="568" t="s">
        <v>2015</v>
      </c>
      <c r="D760" s="567">
        <v>7294</v>
      </c>
      <c r="E760" s="567">
        <v>14</v>
      </c>
      <c r="F760" s="567">
        <v>3</v>
      </c>
      <c r="G760" s="567">
        <v>336</v>
      </c>
      <c r="H760" s="567">
        <v>3130</v>
      </c>
      <c r="O760" s="568" t="s">
        <v>1686</v>
      </c>
      <c r="P760" s="22">
        <f t="shared" si="33"/>
        <v>1</v>
      </c>
      <c r="Q760" s="22">
        <f t="shared" si="34"/>
        <v>2219</v>
      </c>
      <c r="R760" s="22">
        <f t="shared" si="35"/>
        <v>2219</v>
      </c>
    </row>
    <row r="761" spans="1:18" x14ac:dyDescent="0.2">
      <c r="A761" s="567">
        <v>2545</v>
      </c>
      <c r="B761" s="568" t="s">
        <v>2010</v>
      </c>
      <c r="C761" s="568" t="s">
        <v>2016</v>
      </c>
      <c r="D761" s="567">
        <v>7295</v>
      </c>
      <c r="E761" s="567">
        <v>14</v>
      </c>
      <c r="F761" s="567">
        <v>3</v>
      </c>
      <c r="G761" s="567">
        <v>336</v>
      </c>
      <c r="H761" s="567">
        <v>3130</v>
      </c>
      <c r="O761" s="568" t="s">
        <v>1548</v>
      </c>
      <c r="P761" s="22">
        <f t="shared" si="33"/>
        <v>4</v>
      </c>
      <c r="Q761" s="22">
        <f t="shared" si="34"/>
        <v>2220</v>
      </c>
      <c r="R761" s="22">
        <f t="shared" si="35"/>
        <v>2223</v>
      </c>
    </row>
    <row r="762" spans="1:18" x14ac:dyDescent="0.2">
      <c r="A762" s="567">
        <v>2546</v>
      </c>
      <c r="B762" s="568" t="s">
        <v>2010</v>
      </c>
      <c r="C762" s="568" t="s">
        <v>2017</v>
      </c>
      <c r="D762" s="567">
        <v>7296</v>
      </c>
      <c r="E762" s="567">
        <v>14</v>
      </c>
      <c r="F762" s="567">
        <v>3</v>
      </c>
      <c r="G762" s="567">
        <v>336</v>
      </c>
      <c r="H762" s="567">
        <v>3130</v>
      </c>
      <c r="O762" s="568" t="s">
        <v>854</v>
      </c>
      <c r="P762" s="22">
        <f t="shared" si="33"/>
        <v>4</v>
      </c>
      <c r="Q762" s="22">
        <f t="shared" si="34"/>
        <v>2224</v>
      </c>
      <c r="R762" s="22">
        <f t="shared" si="35"/>
        <v>2227</v>
      </c>
    </row>
    <row r="763" spans="1:18" x14ac:dyDescent="0.2">
      <c r="A763" s="567">
        <v>2547</v>
      </c>
      <c r="B763" s="568" t="s">
        <v>2010</v>
      </c>
      <c r="C763" s="568" t="s">
        <v>2018</v>
      </c>
      <c r="D763" s="567">
        <v>7297</v>
      </c>
      <c r="E763" s="567">
        <v>14</v>
      </c>
      <c r="F763" s="567">
        <v>3</v>
      </c>
      <c r="G763" s="567">
        <v>336</v>
      </c>
      <c r="H763" s="567">
        <v>3130</v>
      </c>
      <c r="O763" s="568" t="s">
        <v>3031</v>
      </c>
      <c r="P763" s="22">
        <f t="shared" si="33"/>
        <v>12</v>
      </c>
      <c r="Q763" s="22">
        <f t="shared" si="34"/>
        <v>2228</v>
      </c>
      <c r="R763" s="22">
        <f t="shared" si="35"/>
        <v>2239</v>
      </c>
    </row>
    <row r="764" spans="1:18" x14ac:dyDescent="0.2">
      <c r="A764" s="567">
        <v>2548</v>
      </c>
      <c r="B764" s="568" t="s">
        <v>2010</v>
      </c>
      <c r="C764" s="568" t="s">
        <v>2020</v>
      </c>
      <c r="D764" s="567">
        <v>7298</v>
      </c>
      <c r="E764" s="567">
        <v>14</v>
      </c>
      <c r="F764" s="567">
        <v>3</v>
      </c>
      <c r="G764" s="567">
        <v>336</v>
      </c>
      <c r="H764" s="567">
        <v>3130</v>
      </c>
      <c r="O764" s="568" t="s">
        <v>1278</v>
      </c>
      <c r="P764" s="22">
        <f t="shared" si="33"/>
        <v>4</v>
      </c>
      <c r="Q764" s="22">
        <f t="shared" si="34"/>
        <v>2240</v>
      </c>
      <c r="R764" s="22">
        <f t="shared" si="35"/>
        <v>2243</v>
      </c>
    </row>
    <row r="765" spans="1:18" x14ac:dyDescent="0.2">
      <c r="A765" s="567">
        <v>1560</v>
      </c>
      <c r="B765" s="568" t="s">
        <v>1709</v>
      </c>
      <c r="C765" s="568" t="s">
        <v>1709</v>
      </c>
      <c r="D765" s="567">
        <v>4280</v>
      </c>
      <c r="E765" s="567">
        <v>22</v>
      </c>
      <c r="F765" s="567">
        <v>7</v>
      </c>
      <c r="G765" s="567">
        <v>235</v>
      </c>
      <c r="H765" s="567">
        <v>2160</v>
      </c>
      <c r="O765" s="568" t="s">
        <v>1133</v>
      </c>
      <c r="P765" s="22">
        <f t="shared" si="33"/>
        <v>1</v>
      </c>
      <c r="Q765" s="22">
        <f t="shared" si="34"/>
        <v>2244</v>
      </c>
      <c r="R765" s="22">
        <f t="shared" si="35"/>
        <v>2244</v>
      </c>
    </row>
    <row r="766" spans="1:18" x14ac:dyDescent="0.2">
      <c r="A766" s="567">
        <v>2178</v>
      </c>
      <c r="B766" s="568" t="s">
        <v>2445</v>
      </c>
      <c r="C766" s="568" t="s">
        <v>2445</v>
      </c>
      <c r="D766" s="567">
        <v>6235</v>
      </c>
      <c r="E766" s="567">
        <v>13</v>
      </c>
      <c r="F766" s="567">
        <v>15</v>
      </c>
      <c r="G766" s="567">
        <v>327</v>
      </c>
      <c r="H766" s="567">
        <v>3170</v>
      </c>
      <c r="O766" s="568" t="s">
        <v>1626</v>
      </c>
      <c r="P766" s="22">
        <f t="shared" si="33"/>
        <v>1</v>
      </c>
      <c r="Q766" s="22">
        <f t="shared" si="34"/>
        <v>2245</v>
      </c>
      <c r="R766" s="22">
        <f t="shared" si="35"/>
        <v>2245</v>
      </c>
    </row>
    <row r="767" spans="1:18" x14ac:dyDescent="0.2">
      <c r="A767" s="567">
        <v>1263</v>
      </c>
      <c r="B767" s="568" t="s">
        <v>1271</v>
      </c>
      <c r="C767" s="568" t="s">
        <v>1270</v>
      </c>
      <c r="D767" s="567">
        <v>3416</v>
      </c>
      <c r="E767" s="567">
        <v>102</v>
      </c>
      <c r="F767" s="567">
        <v>3</v>
      </c>
      <c r="G767" s="567">
        <v>215</v>
      </c>
      <c r="H767" s="567">
        <v>2121</v>
      </c>
      <c r="O767" s="568" t="s">
        <v>461</v>
      </c>
      <c r="P767" s="22">
        <f t="shared" si="33"/>
        <v>1</v>
      </c>
      <c r="Q767" s="22">
        <f t="shared" si="34"/>
        <v>2246</v>
      </c>
      <c r="R767" s="22">
        <f t="shared" si="35"/>
        <v>2246</v>
      </c>
    </row>
    <row r="768" spans="1:18" x14ac:dyDescent="0.2">
      <c r="A768" s="567">
        <v>1262</v>
      </c>
      <c r="B768" s="568" t="s">
        <v>1271</v>
      </c>
      <c r="C768" s="568" t="s">
        <v>1291</v>
      </c>
      <c r="D768" s="567">
        <v>3415</v>
      </c>
      <c r="E768" s="567">
        <v>102</v>
      </c>
      <c r="F768" s="567">
        <v>3</v>
      </c>
      <c r="G768" s="567">
        <v>215</v>
      </c>
      <c r="H768" s="567">
        <v>2121</v>
      </c>
      <c r="O768" s="568" t="s">
        <v>2196</v>
      </c>
      <c r="P768" s="22">
        <f t="shared" si="33"/>
        <v>2</v>
      </c>
      <c r="Q768" s="22">
        <f t="shared" si="34"/>
        <v>2247</v>
      </c>
      <c r="R768" s="22">
        <f t="shared" si="35"/>
        <v>2248</v>
      </c>
    </row>
    <row r="769" spans="1:18" x14ac:dyDescent="0.2">
      <c r="A769" s="567">
        <v>2406</v>
      </c>
      <c r="B769" s="568" t="s">
        <v>2490</v>
      </c>
      <c r="C769" s="568" t="s">
        <v>2490</v>
      </c>
      <c r="D769" s="567">
        <v>6910</v>
      </c>
      <c r="E769" s="567">
        <v>124</v>
      </c>
      <c r="F769" s="567">
        <v>8</v>
      </c>
      <c r="G769" s="567">
        <v>337</v>
      </c>
      <c r="H769" s="567">
        <v>3180</v>
      </c>
      <c r="O769" s="568" t="s">
        <v>1165</v>
      </c>
      <c r="P769" s="22">
        <f t="shared" si="33"/>
        <v>2</v>
      </c>
      <c r="Q769" s="22">
        <f t="shared" si="34"/>
        <v>2249</v>
      </c>
      <c r="R769" s="22">
        <f t="shared" si="35"/>
        <v>2250</v>
      </c>
    </row>
    <row r="770" spans="1:18" x14ac:dyDescent="0.2">
      <c r="A770" s="567">
        <v>2921</v>
      </c>
      <c r="B770" s="568" t="s">
        <v>3178</v>
      </c>
      <c r="C770" s="568" t="s">
        <v>3177</v>
      </c>
      <c r="D770" s="567">
        <v>8376</v>
      </c>
      <c r="E770" s="567">
        <v>33</v>
      </c>
      <c r="F770" s="567">
        <v>12</v>
      </c>
      <c r="G770" s="567">
        <v>425</v>
      </c>
      <c r="H770" s="567">
        <v>4170</v>
      </c>
      <c r="O770" s="568" t="s">
        <v>869</v>
      </c>
      <c r="P770" s="22">
        <f t="shared" si="33"/>
        <v>1</v>
      </c>
      <c r="Q770" s="22">
        <f t="shared" si="34"/>
        <v>2251</v>
      </c>
      <c r="R770" s="22">
        <f t="shared" si="35"/>
        <v>2251</v>
      </c>
    </row>
    <row r="771" spans="1:18" x14ac:dyDescent="0.2">
      <c r="A771" s="567">
        <v>2920</v>
      </c>
      <c r="B771" s="568" t="s">
        <v>3178</v>
      </c>
      <c r="C771" s="568" t="s">
        <v>3179</v>
      </c>
      <c r="D771" s="567">
        <v>8375</v>
      </c>
      <c r="E771" s="567">
        <v>33</v>
      </c>
      <c r="F771" s="567">
        <v>12</v>
      </c>
      <c r="G771" s="567">
        <v>425</v>
      </c>
      <c r="H771" s="567">
        <v>4170</v>
      </c>
      <c r="O771" s="568" t="s">
        <v>2649</v>
      </c>
      <c r="P771" s="22">
        <f t="shared" si="33"/>
        <v>4</v>
      </c>
      <c r="Q771" s="22">
        <f t="shared" si="34"/>
        <v>2252</v>
      </c>
      <c r="R771" s="22">
        <f t="shared" si="35"/>
        <v>2255</v>
      </c>
    </row>
    <row r="772" spans="1:18" x14ac:dyDescent="0.2">
      <c r="A772" s="567">
        <v>2919</v>
      </c>
      <c r="B772" s="568" t="s">
        <v>3178</v>
      </c>
      <c r="C772" s="568" t="s">
        <v>3180</v>
      </c>
      <c r="D772" s="567">
        <v>8374</v>
      </c>
      <c r="E772" s="567">
        <v>33</v>
      </c>
      <c r="F772" s="567">
        <v>12</v>
      </c>
      <c r="G772" s="567">
        <v>425</v>
      </c>
      <c r="H772" s="567">
        <v>4170</v>
      </c>
      <c r="O772" s="568" t="s">
        <v>519</v>
      </c>
      <c r="P772" s="22">
        <f t="shared" si="33"/>
        <v>2</v>
      </c>
      <c r="Q772" s="22">
        <f t="shared" si="34"/>
        <v>2256</v>
      </c>
      <c r="R772" s="22">
        <f t="shared" si="35"/>
        <v>2257</v>
      </c>
    </row>
    <row r="773" spans="1:18" x14ac:dyDescent="0.2">
      <c r="A773" s="567">
        <v>2918</v>
      </c>
      <c r="B773" s="568" t="s">
        <v>3178</v>
      </c>
      <c r="C773" s="568" t="s">
        <v>1817</v>
      </c>
      <c r="D773" s="567">
        <v>8373</v>
      </c>
      <c r="E773" s="567">
        <v>33</v>
      </c>
      <c r="F773" s="567">
        <v>12</v>
      </c>
      <c r="G773" s="567">
        <v>425</v>
      </c>
      <c r="H773" s="567">
        <v>4170</v>
      </c>
      <c r="O773" s="568" t="s">
        <v>1746</v>
      </c>
      <c r="P773" s="22">
        <f t="shared" si="33"/>
        <v>1</v>
      </c>
      <c r="Q773" s="22">
        <f t="shared" si="34"/>
        <v>2258</v>
      </c>
      <c r="R773" s="22">
        <f t="shared" si="35"/>
        <v>2258</v>
      </c>
    </row>
    <row r="774" spans="1:18" x14ac:dyDescent="0.2">
      <c r="A774" s="567">
        <v>2917</v>
      </c>
      <c r="B774" s="568" t="s">
        <v>3178</v>
      </c>
      <c r="C774" s="568" t="s">
        <v>3181</v>
      </c>
      <c r="D774" s="567">
        <v>8372</v>
      </c>
      <c r="E774" s="567">
        <v>33</v>
      </c>
      <c r="F774" s="567">
        <v>12</v>
      </c>
      <c r="G774" s="567">
        <v>425</v>
      </c>
      <c r="H774" s="567">
        <v>4170</v>
      </c>
      <c r="O774" s="568" t="s">
        <v>1241</v>
      </c>
      <c r="P774" s="22">
        <f t="shared" si="33"/>
        <v>6</v>
      </c>
      <c r="Q774" s="22">
        <f t="shared" si="34"/>
        <v>2259</v>
      </c>
      <c r="R774" s="22">
        <f t="shared" si="35"/>
        <v>2264</v>
      </c>
    </row>
    <row r="775" spans="1:18" x14ac:dyDescent="0.2">
      <c r="A775" s="567">
        <v>2922</v>
      </c>
      <c r="B775" s="568" t="s">
        <v>3178</v>
      </c>
      <c r="C775" s="568" t="s">
        <v>3183</v>
      </c>
      <c r="D775" s="567">
        <v>8377</v>
      </c>
      <c r="E775" s="567">
        <v>33</v>
      </c>
      <c r="F775" s="567">
        <v>12</v>
      </c>
      <c r="G775" s="567">
        <v>425</v>
      </c>
      <c r="H775" s="567">
        <v>4170</v>
      </c>
      <c r="O775" s="568" t="s">
        <v>980</v>
      </c>
      <c r="P775" s="22">
        <f t="shared" si="33"/>
        <v>5</v>
      </c>
      <c r="Q775" s="22">
        <f t="shared" si="34"/>
        <v>2265</v>
      </c>
      <c r="R775" s="22">
        <f t="shared" si="35"/>
        <v>2269</v>
      </c>
    </row>
    <row r="776" spans="1:18" x14ac:dyDescent="0.2">
      <c r="A776" s="567">
        <v>2915</v>
      </c>
      <c r="B776" s="568" t="s">
        <v>3178</v>
      </c>
      <c r="C776" s="568" t="s">
        <v>3184</v>
      </c>
      <c r="D776" s="567">
        <v>8370</v>
      </c>
      <c r="E776" s="567">
        <v>33</v>
      </c>
      <c r="F776" s="567">
        <v>12</v>
      </c>
      <c r="G776" s="567">
        <v>425</v>
      </c>
      <c r="H776" s="567">
        <v>4170</v>
      </c>
      <c r="O776" s="568" t="s">
        <v>1280</v>
      </c>
      <c r="P776" s="22">
        <f t="shared" si="33"/>
        <v>4</v>
      </c>
      <c r="Q776" s="22">
        <f t="shared" si="34"/>
        <v>2270</v>
      </c>
      <c r="R776" s="22">
        <f t="shared" si="35"/>
        <v>2273</v>
      </c>
    </row>
    <row r="777" spans="1:18" x14ac:dyDescent="0.2">
      <c r="A777" s="567">
        <v>2916</v>
      </c>
      <c r="B777" s="568" t="s">
        <v>3178</v>
      </c>
      <c r="C777" s="568" t="s">
        <v>3185</v>
      </c>
      <c r="D777" s="567">
        <v>8371</v>
      </c>
      <c r="E777" s="567">
        <v>33</v>
      </c>
      <c r="F777" s="567">
        <v>12</v>
      </c>
      <c r="G777" s="567">
        <v>425</v>
      </c>
      <c r="H777" s="567">
        <v>4170</v>
      </c>
      <c r="O777" s="568" t="s">
        <v>1568</v>
      </c>
      <c r="P777" s="22">
        <f t="shared" si="33"/>
        <v>6</v>
      </c>
      <c r="Q777" s="22">
        <f t="shared" si="34"/>
        <v>2274</v>
      </c>
      <c r="R777" s="22">
        <f t="shared" si="35"/>
        <v>2279</v>
      </c>
    </row>
    <row r="778" spans="1:18" x14ac:dyDescent="0.2">
      <c r="A778" s="567">
        <v>2905</v>
      </c>
      <c r="B778" s="568" t="s">
        <v>3178</v>
      </c>
      <c r="C778" s="568" t="s">
        <v>2277</v>
      </c>
      <c r="D778" s="567">
        <v>8360</v>
      </c>
      <c r="E778" s="567">
        <v>33</v>
      </c>
      <c r="F778" s="567">
        <v>12</v>
      </c>
      <c r="G778" s="567">
        <v>425</v>
      </c>
      <c r="H778" s="567">
        <v>4170</v>
      </c>
      <c r="O778" s="568" t="s">
        <v>2883</v>
      </c>
      <c r="P778" s="22">
        <f t="shared" si="33"/>
        <v>6</v>
      </c>
      <c r="Q778" s="22">
        <f t="shared" si="34"/>
        <v>2280</v>
      </c>
      <c r="R778" s="22">
        <f t="shared" si="35"/>
        <v>2285</v>
      </c>
    </row>
    <row r="779" spans="1:18" x14ac:dyDescent="0.2">
      <c r="A779" s="567">
        <v>2914</v>
      </c>
      <c r="B779" s="568" t="s">
        <v>3178</v>
      </c>
      <c r="C779" s="568" t="s">
        <v>3205</v>
      </c>
      <c r="D779" s="567">
        <v>8369</v>
      </c>
      <c r="E779" s="567">
        <v>33</v>
      </c>
      <c r="F779" s="567">
        <v>12</v>
      </c>
      <c r="G779" s="567">
        <v>425</v>
      </c>
      <c r="H779" s="567">
        <v>4170</v>
      </c>
      <c r="O779" s="568" t="s">
        <v>3049</v>
      </c>
      <c r="P779" s="22">
        <f t="shared" si="33"/>
        <v>8</v>
      </c>
      <c r="Q779" s="22">
        <f t="shared" si="34"/>
        <v>2286</v>
      </c>
      <c r="R779" s="22">
        <f t="shared" si="35"/>
        <v>2293</v>
      </c>
    </row>
    <row r="780" spans="1:18" x14ac:dyDescent="0.2">
      <c r="A780" s="567">
        <v>2906</v>
      </c>
      <c r="B780" s="568" t="s">
        <v>3178</v>
      </c>
      <c r="C780" s="568" t="s">
        <v>3206</v>
      </c>
      <c r="D780" s="567">
        <v>8361</v>
      </c>
      <c r="E780" s="567">
        <v>33</v>
      </c>
      <c r="F780" s="567">
        <v>12</v>
      </c>
      <c r="G780" s="567">
        <v>425</v>
      </c>
      <c r="H780" s="567">
        <v>4170</v>
      </c>
      <c r="O780" s="568" t="s">
        <v>2924</v>
      </c>
      <c r="P780" s="22">
        <f t="shared" si="33"/>
        <v>1</v>
      </c>
      <c r="Q780" s="22">
        <f t="shared" si="34"/>
        <v>2294</v>
      </c>
      <c r="R780" s="22">
        <f t="shared" si="35"/>
        <v>2294</v>
      </c>
    </row>
    <row r="781" spans="1:18" x14ac:dyDescent="0.2">
      <c r="A781" s="567">
        <v>2907</v>
      </c>
      <c r="B781" s="568" t="s">
        <v>3178</v>
      </c>
      <c r="C781" s="568" t="s">
        <v>3207</v>
      </c>
      <c r="D781" s="567">
        <v>8362</v>
      </c>
      <c r="E781" s="567">
        <v>33</v>
      </c>
      <c r="F781" s="567">
        <v>12</v>
      </c>
      <c r="G781" s="567">
        <v>425</v>
      </c>
      <c r="H781" s="567">
        <v>4170</v>
      </c>
      <c r="O781" s="568" t="s">
        <v>1284</v>
      </c>
      <c r="P781" s="22">
        <f t="shared" si="33"/>
        <v>3</v>
      </c>
      <c r="Q781" s="22">
        <f t="shared" si="34"/>
        <v>2295</v>
      </c>
      <c r="R781" s="22">
        <f t="shared" si="35"/>
        <v>2297</v>
      </c>
    </row>
    <row r="782" spans="1:18" x14ac:dyDescent="0.2">
      <c r="A782" s="567">
        <v>2908</v>
      </c>
      <c r="B782" s="568" t="s">
        <v>3178</v>
      </c>
      <c r="C782" s="568" t="s">
        <v>2793</v>
      </c>
      <c r="D782" s="567">
        <v>8363</v>
      </c>
      <c r="E782" s="567">
        <v>33</v>
      </c>
      <c r="F782" s="567">
        <v>12</v>
      </c>
      <c r="G782" s="567">
        <v>425</v>
      </c>
      <c r="H782" s="567">
        <v>4170</v>
      </c>
      <c r="O782" s="568" t="s">
        <v>1391</v>
      </c>
      <c r="P782" s="22">
        <f t="shared" si="33"/>
        <v>1</v>
      </c>
      <c r="Q782" s="22">
        <f t="shared" si="34"/>
        <v>2298</v>
      </c>
      <c r="R782" s="22">
        <f t="shared" si="35"/>
        <v>2298</v>
      </c>
    </row>
    <row r="783" spans="1:18" x14ac:dyDescent="0.2">
      <c r="A783" s="567">
        <v>2909</v>
      </c>
      <c r="B783" s="568" t="s">
        <v>3178</v>
      </c>
      <c r="C783" s="568" t="s">
        <v>3208</v>
      </c>
      <c r="D783" s="567">
        <v>8364</v>
      </c>
      <c r="E783" s="567">
        <v>33</v>
      </c>
      <c r="F783" s="567">
        <v>12</v>
      </c>
      <c r="G783" s="567">
        <v>425</v>
      </c>
      <c r="H783" s="567">
        <v>4170</v>
      </c>
      <c r="O783" s="568" t="s">
        <v>772</v>
      </c>
      <c r="P783" s="22">
        <f t="shared" ref="P783:P846" si="36">COUNTIF($B$13:$B$3400,O783)</f>
        <v>1</v>
      </c>
      <c r="Q783" s="22">
        <f t="shared" si="34"/>
        <v>2299</v>
      </c>
      <c r="R783" s="22">
        <f t="shared" si="35"/>
        <v>2299</v>
      </c>
    </row>
    <row r="784" spans="1:18" x14ac:dyDescent="0.2">
      <c r="A784" s="567">
        <v>2910</v>
      </c>
      <c r="B784" s="568" t="s">
        <v>3178</v>
      </c>
      <c r="C784" s="568" t="s">
        <v>227</v>
      </c>
      <c r="D784" s="567">
        <v>8365</v>
      </c>
      <c r="E784" s="567">
        <v>33</v>
      </c>
      <c r="F784" s="567">
        <v>12</v>
      </c>
      <c r="G784" s="567">
        <v>425</v>
      </c>
      <c r="H784" s="567">
        <v>4170</v>
      </c>
      <c r="O784" s="568" t="s">
        <v>2954</v>
      </c>
      <c r="P784" s="22">
        <f t="shared" si="36"/>
        <v>4</v>
      </c>
      <c r="Q784" s="22">
        <f t="shared" si="34"/>
        <v>2300</v>
      </c>
      <c r="R784" s="22">
        <f t="shared" si="35"/>
        <v>2303</v>
      </c>
    </row>
    <row r="785" spans="1:18" x14ac:dyDescent="0.2">
      <c r="A785" s="567">
        <v>2911</v>
      </c>
      <c r="B785" s="568" t="s">
        <v>3178</v>
      </c>
      <c r="C785" s="568" t="s">
        <v>3209</v>
      </c>
      <c r="D785" s="567">
        <v>8366</v>
      </c>
      <c r="E785" s="567">
        <v>33</v>
      </c>
      <c r="F785" s="567">
        <v>12</v>
      </c>
      <c r="G785" s="567">
        <v>425</v>
      </c>
      <c r="H785" s="567">
        <v>4170</v>
      </c>
      <c r="O785" s="568" t="s">
        <v>858</v>
      </c>
      <c r="P785" s="22">
        <f t="shared" si="36"/>
        <v>1</v>
      </c>
      <c r="Q785" s="22">
        <f t="shared" ref="Q785:Q848" si="37">R784+1</f>
        <v>2304</v>
      </c>
      <c r="R785" s="22">
        <f t="shared" ref="R785:R848" si="38">R784+P785</f>
        <v>2304</v>
      </c>
    </row>
    <row r="786" spans="1:18" x14ac:dyDescent="0.2">
      <c r="A786" s="567">
        <v>2912</v>
      </c>
      <c r="B786" s="568" t="s">
        <v>3178</v>
      </c>
      <c r="C786" s="568" t="s">
        <v>3210</v>
      </c>
      <c r="D786" s="567">
        <v>8367</v>
      </c>
      <c r="E786" s="567">
        <v>33</v>
      </c>
      <c r="F786" s="567">
        <v>12</v>
      </c>
      <c r="G786" s="567">
        <v>425</v>
      </c>
      <c r="H786" s="567">
        <v>4170</v>
      </c>
      <c r="O786" s="568" t="s">
        <v>173</v>
      </c>
      <c r="P786" s="22">
        <f t="shared" si="36"/>
        <v>1</v>
      </c>
      <c r="Q786" s="22">
        <f t="shared" si="37"/>
        <v>2305</v>
      </c>
      <c r="R786" s="22">
        <f t="shared" si="38"/>
        <v>2305</v>
      </c>
    </row>
    <row r="787" spans="1:18" x14ac:dyDescent="0.2">
      <c r="A787" s="567">
        <v>2913</v>
      </c>
      <c r="B787" s="568" t="s">
        <v>3178</v>
      </c>
      <c r="C787" s="568" t="s">
        <v>3211</v>
      </c>
      <c r="D787" s="567">
        <v>8368</v>
      </c>
      <c r="E787" s="567">
        <v>33</v>
      </c>
      <c r="F787" s="567">
        <v>12</v>
      </c>
      <c r="G787" s="567">
        <v>425</v>
      </c>
      <c r="H787" s="567">
        <v>4170</v>
      </c>
      <c r="O787" s="568" t="s">
        <v>2314</v>
      </c>
      <c r="P787" s="22">
        <f t="shared" si="36"/>
        <v>7</v>
      </c>
      <c r="Q787" s="22">
        <f t="shared" si="37"/>
        <v>2306</v>
      </c>
      <c r="R787" s="22">
        <f t="shared" si="38"/>
        <v>2312</v>
      </c>
    </row>
    <row r="788" spans="1:18" x14ac:dyDescent="0.2">
      <c r="A788" s="567">
        <v>704</v>
      </c>
      <c r="B788" s="568" t="s">
        <v>665</v>
      </c>
      <c r="C788" s="568" t="s">
        <v>665</v>
      </c>
      <c r="D788" s="567">
        <v>1570</v>
      </c>
      <c r="E788" s="567">
        <v>13</v>
      </c>
      <c r="F788" s="567">
        <v>2</v>
      </c>
      <c r="G788" s="567">
        <v>115</v>
      </c>
      <c r="H788" s="567">
        <v>1161</v>
      </c>
      <c r="O788" s="568" t="s">
        <v>2067</v>
      </c>
      <c r="P788" s="22">
        <f t="shared" si="36"/>
        <v>1</v>
      </c>
      <c r="Q788" s="22">
        <f t="shared" si="37"/>
        <v>2313</v>
      </c>
      <c r="R788" s="22">
        <f t="shared" si="38"/>
        <v>2313</v>
      </c>
    </row>
    <row r="789" spans="1:18" x14ac:dyDescent="0.2">
      <c r="A789" s="567">
        <v>1950</v>
      </c>
      <c r="B789" s="568" t="s">
        <v>1901</v>
      </c>
      <c r="C789" s="568" t="s">
        <v>1900</v>
      </c>
      <c r="D789" s="567">
        <v>5514</v>
      </c>
      <c r="E789" s="567">
        <v>131</v>
      </c>
      <c r="F789" s="567">
        <v>3</v>
      </c>
      <c r="G789" s="567">
        <v>315</v>
      </c>
      <c r="H789" s="567">
        <v>3120</v>
      </c>
      <c r="O789" s="568" t="s">
        <v>102</v>
      </c>
      <c r="P789" s="22">
        <f t="shared" si="36"/>
        <v>2</v>
      </c>
      <c r="Q789" s="22">
        <f t="shared" si="37"/>
        <v>2314</v>
      </c>
      <c r="R789" s="22">
        <f t="shared" si="38"/>
        <v>2315</v>
      </c>
    </row>
    <row r="790" spans="1:18" x14ac:dyDescent="0.2">
      <c r="A790" s="567">
        <v>1948</v>
      </c>
      <c r="B790" s="568" t="s">
        <v>1901</v>
      </c>
      <c r="C790" s="568" t="s">
        <v>1902</v>
      </c>
      <c r="D790" s="567">
        <v>5512</v>
      </c>
      <c r="E790" s="567">
        <v>131</v>
      </c>
      <c r="F790" s="567">
        <v>3</v>
      </c>
      <c r="G790" s="567">
        <v>315</v>
      </c>
      <c r="H790" s="567">
        <v>3120</v>
      </c>
      <c r="O790" s="568" t="s">
        <v>3223</v>
      </c>
      <c r="P790" s="22">
        <f t="shared" si="36"/>
        <v>1</v>
      </c>
      <c r="Q790" s="22">
        <f t="shared" si="37"/>
        <v>2316</v>
      </c>
      <c r="R790" s="22">
        <f t="shared" si="38"/>
        <v>2316</v>
      </c>
    </row>
    <row r="791" spans="1:18" x14ac:dyDescent="0.2">
      <c r="A791" s="567">
        <v>1947</v>
      </c>
      <c r="B791" s="568" t="s">
        <v>1901</v>
      </c>
      <c r="C791" s="568" t="s">
        <v>1904</v>
      </c>
      <c r="D791" s="567">
        <v>5511</v>
      </c>
      <c r="E791" s="567">
        <v>131</v>
      </c>
      <c r="F791" s="567">
        <v>3</v>
      </c>
      <c r="G791" s="567">
        <v>315</v>
      </c>
      <c r="H791" s="567">
        <v>3120</v>
      </c>
      <c r="O791" s="568" t="s">
        <v>2637</v>
      </c>
      <c r="P791" s="22">
        <f t="shared" si="36"/>
        <v>3</v>
      </c>
      <c r="Q791" s="22">
        <f t="shared" si="37"/>
        <v>2317</v>
      </c>
      <c r="R791" s="22">
        <f t="shared" si="38"/>
        <v>2319</v>
      </c>
    </row>
    <row r="792" spans="1:18" x14ac:dyDescent="0.2">
      <c r="A792" s="567">
        <v>1946</v>
      </c>
      <c r="B792" s="568" t="s">
        <v>1901</v>
      </c>
      <c r="C792" s="568" t="s">
        <v>1905</v>
      </c>
      <c r="D792" s="567">
        <v>5510</v>
      </c>
      <c r="E792" s="567">
        <v>131</v>
      </c>
      <c r="F792" s="567">
        <v>3</v>
      </c>
      <c r="G792" s="567">
        <v>315</v>
      </c>
      <c r="H792" s="567">
        <v>3120</v>
      </c>
      <c r="O792" s="568" t="s">
        <v>1134</v>
      </c>
      <c r="P792" s="22">
        <f t="shared" si="36"/>
        <v>6</v>
      </c>
      <c r="Q792" s="22">
        <f t="shared" si="37"/>
        <v>2320</v>
      </c>
      <c r="R792" s="22">
        <f t="shared" si="38"/>
        <v>2325</v>
      </c>
    </row>
    <row r="793" spans="1:18" x14ac:dyDescent="0.2">
      <c r="A793" s="567">
        <v>1949</v>
      </c>
      <c r="B793" s="568" t="s">
        <v>1901</v>
      </c>
      <c r="C793" s="568" t="s">
        <v>1913</v>
      </c>
      <c r="D793" s="567">
        <v>5513</v>
      </c>
      <c r="E793" s="567">
        <v>131</v>
      </c>
      <c r="F793" s="567">
        <v>3</v>
      </c>
      <c r="G793" s="567">
        <v>315</v>
      </c>
      <c r="H793" s="567">
        <v>3120</v>
      </c>
      <c r="O793" s="568" t="s">
        <v>2624</v>
      </c>
      <c r="P793" s="22">
        <f t="shared" si="36"/>
        <v>1</v>
      </c>
      <c r="Q793" s="22">
        <f t="shared" si="37"/>
        <v>2326</v>
      </c>
      <c r="R793" s="22">
        <f t="shared" si="38"/>
        <v>2326</v>
      </c>
    </row>
    <row r="794" spans="1:18" x14ac:dyDescent="0.2">
      <c r="A794" s="567">
        <v>3231</v>
      </c>
      <c r="B794" s="568" t="s">
        <v>2849</v>
      </c>
      <c r="C794" s="568" t="s">
        <v>2849</v>
      </c>
      <c r="D794" s="567">
        <v>9320</v>
      </c>
      <c r="E794" s="567">
        <v>27</v>
      </c>
      <c r="F794" s="567">
        <v>11</v>
      </c>
      <c r="G794" s="567">
        <v>436</v>
      </c>
      <c r="H794" s="567">
        <v>4120</v>
      </c>
      <c r="O794" s="568" t="s">
        <v>388</v>
      </c>
      <c r="P794" s="22">
        <f t="shared" si="36"/>
        <v>3</v>
      </c>
      <c r="Q794" s="22">
        <f t="shared" si="37"/>
        <v>2327</v>
      </c>
      <c r="R794" s="22">
        <f t="shared" si="38"/>
        <v>2329</v>
      </c>
    </row>
    <row r="795" spans="1:18" x14ac:dyDescent="0.2">
      <c r="A795" s="567">
        <v>1884</v>
      </c>
      <c r="B795" s="568" t="s">
        <v>1922</v>
      </c>
      <c r="C795" s="568" t="s">
        <v>1922</v>
      </c>
      <c r="D795" s="567">
        <v>5275</v>
      </c>
      <c r="E795" s="567">
        <v>30</v>
      </c>
      <c r="F795" s="567">
        <v>3</v>
      </c>
      <c r="G795" s="567">
        <v>315</v>
      </c>
      <c r="H795" s="567">
        <v>3120</v>
      </c>
      <c r="O795" s="568" t="s">
        <v>2788</v>
      </c>
      <c r="P795" s="22">
        <f t="shared" si="36"/>
        <v>4</v>
      </c>
      <c r="Q795" s="22">
        <f t="shared" si="37"/>
        <v>2330</v>
      </c>
      <c r="R795" s="22">
        <f t="shared" si="38"/>
        <v>2333</v>
      </c>
    </row>
    <row r="796" spans="1:18" x14ac:dyDescent="0.2">
      <c r="A796" s="567">
        <v>2234</v>
      </c>
      <c r="B796" s="568" t="s">
        <v>2285</v>
      </c>
      <c r="C796" s="568" t="s">
        <v>2284</v>
      </c>
      <c r="D796" s="567">
        <v>6471</v>
      </c>
      <c r="E796" s="567">
        <v>21</v>
      </c>
      <c r="F796" s="567">
        <v>11</v>
      </c>
      <c r="G796" s="567">
        <v>335</v>
      </c>
      <c r="H796" s="567">
        <v>3151</v>
      </c>
      <c r="O796" s="568" t="s">
        <v>1503</v>
      </c>
      <c r="P796" s="22">
        <f t="shared" si="36"/>
        <v>6</v>
      </c>
      <c r="Q796" s="22">
        <f t="shared" si="37"/>
        <v>2334</v>
      </c>
      <c r="R796" s="22">
        <f t="shared" si="38"/>
        <v>2339</v>
      </c>
    </row>
    <row r="797" spans="1:18" x14ac:dyDescent="0.2">
      <c r="A797" s="567">
        <v>2233</v>
      </c>
      <c r="B797" s="568" t="s">
        <v>2285</v>
      </c>
      <c r="C797" s="568" t="s">
        <v>2285</v>
      </c>
      <c r="D797" s="567">
        <v>6470</v>
      </c>
      <c r="E797" s="567">
        <v>21</v>
      </c>
      <c r="F797" s="567">
        <v>11</v>
      </c>
      <c r="G797" s="567">
        <v>335</v>
      </c>
      <c r="H797" s="567">
        <v>3151</v>
      </c>
      <c r="O797" s="568" t="s">
        <v>420</v>
      </c>
      <c r="P797" s="22">
        <f t="shared" si="36"/>
        <v>1</v>
      </c>
      <c r="Q797" s="22">
        <f t="shared" si="37"/>
        <v>2340</v>
      </c>
      <c r="R797" s="22">
        <f t="shared" si="38"/>
        <v>2340</v>
      </c>
    </row>
    <row r="798" spans="1:18" x14ac:dyDescent="0.2">
      <c r="A798" s="567">
        <v>2235</v>
      </c>
      <c r="B798" s="568" t="s">
        <v>2285</v>
      </c>
      <c r="C798" s="568" t="s">
        <v>2295</v>
      </c>
      <c r="D798" s="567">
        <v>6472</v>
      </c>
      <c r="E798" s="567">
        <v>21</v>
      </c>
      <c r="F798" s="567">
        <v>11</v>
      </c>
      <c r="G798" s="567">
        <v>335</v>
      </c>
      <c r="H798" s="567">
        <v>3151</v>
      </c>
      <c r="O798" s="568" t="s">
        <v>3275</v>
      </c>
      <c r="P798" s="22">
        <f t="shared" si="36"/>
        <v>1</v>
      </c>
      <c r="Q798" s="22">
        <f t="shared" si="37"/>
        <v>2341</v>
      </c>
      <c r="R798" s="22">
        <f t="shared" si="38"/>
        <v>2341</v>
      </c>
    </row>
    <row r="799" spans="1:18" x14ac:dyDescent="0.2">
      <c r="A799" s="567">
        <v>2237</v>
      </c>
      <c r="B799" s="568" t="s">
        <v>2285</v>
      </c>
      <c r="C799" s="568" t="s">
        <v>1829</v>
      </c>
      <c r="D799" s="567">
        <v>6474</v>
      </c>
      <c r="E799" s="567">
        <v>21</v>
      </c>
      <c r="F799" s="567">
        <v>11</v>
      </c>
      <c r="G799" s="567">
        <v>335</v>
      </c>
      <c r="H799" s="567">
        <v>3151</v>
      </c>
      <c r="O799" s="568" t="s">
        <v>1437</v>
      </c>
      <c r="P799" s="22">
        <f t="shared" si="36"/>
        <v>1</v>
      </c>
      <c r="Q799" s="22">
        <f t="shared" si="37"/>
        <v>2342</v>
      </c>
      <c r="R799" s="22">
        <f t="shared" si="38"/>
        <v>2342</v>
      </c>
    </row>
    <row r="800" spans="1:18" x14ac:dyDescent="0.2">
      <c r="A800" s="567">
        <v>2238</v>
      </c>
      <c r="B800" s="568" t="s">
        <v>2285</v>
      </c>
      <c r="C800" s="568" t="s">
        <v>2296</v>
      </c>
      <c r="D800" s="567">
        <v>6475</v>
      </c>
      <c r="E800" s="567">
        <v>21</v>
      </c>
      <c r="F800" s="567">
        <v>11</v>
      </c>
      <c r="G800" s="567">
        <v>335</v>
      </c>
      <c r="H800" s="567">
        <v>3151</v>
      </c>
      <c r="O800" s="568" t="s">
        <v>2312</v>
      </c>
      <c r="P800" s="22">
        <f t="shared" si="36"/>
        <v>1</v>
      </c>
      <c r="Q800" s="22">
        <f t="shared" si="37"/>
        <v>2343</v>
      </c>
      <c r="R800" s="22">
        <f t="shared" si="38"/>
        <v>2343</v>
      </c>
    </row>
    <row r="801" spans="1:18" x14ac:dyDescent="0.2">
      <c r="A801" s="567">
        <v>2236</v>
      </c>
      <c r="B801" s="568" t="s">
        <v>2285</v>
      </c>
      <c r="C801" s="568" t="s">
        <v>2297</v>
      </c>
      <c r="D801" s="567">
        <v>6473</v>
      </c>
      <c r="E801" s="567">
        <v>21</v>
      </c>
      <c r="F801" s="567">
        <v>11</v>
      </c>
      <c r="G801" s="567">
        <v>335</v>
      </c>
      <c r="H801" s="567">
        <v>3151</v>
      </c>
      <c r="O801" s="568" t="s">
        <v>2443</v>
      </c>
      <c r="P801" s="22">
        <f t="shared" si="36"/>
        <v>1</v>
      </c>
      <c r="Q801" s="22">
        <f t="shared" si="37"/>
        <v>2344</v>
      </c>
      <c r="R801" s="22">
        <f t="shared" si="38"/>
        <v>2344</v>
      </c>
    </row>
    <row r="802" spans="1:18" x14ac:dyDescent="0.2">
      <c r="A802" s="567">
        <v>2554</v>
      </c>
      <c r="B802" s="568" t="s">
        <v>2057</v>
      </c>
      <c r="C802" s="568" t="s">
        <v>2057</v>
      </c>
      <c r="D802" s="567">
        <v>7335</v>
      </c>
      <c r="E802" s="567">
        <v>19</v>
      </c>
      <c r="F802" s="567">
        <v>3</v>
      </c>
      <c r="G802" s="567">
        <v>336</v>
      </c>
      <c r="H802" s="567">
        <v>3130</v>
      </c>
      <c r="O802" s="568" t="s">
        <v>863</v>
      </c>
      <c r="P802" s="22">
        <f t="shared" si="36"/>
        <v>1</v>
      </c>
      <c r="Q802" s="22">
        <f t="shared" si="37"/>
        <v>2345</v>
      </c>
      <c r="R802" s="22">
        <f t="shared" si="38"/>
        <v>2345</v>
      </c>
    </row>
    <row r="803" spans="1:18" x14ac:dyDescent="0.2">
      <c r="A803" s="567">
        <v>1935</v>
      </c>
      <c r="B803" s="568" t="s">
        <v>1872</v>
      </c>
      <c r="C803" s="568" t="s">
        <v>1871</v>
      </c>
      <c r="D803" s="567">
        <v>5463</v>
      </c>
      <c r="E803" s="567">
        <v>31</v>
      </c>
      <c r="F803" s="567">
        <v>6</v>
      </c>
      <c r="G803" s="567">
        <v>315</v>
      </c>
      <c r="H803" s="567">
        <v>3120</v>
      </c>
      <c r="O803" s="568" t="s">
        <v>1385</v>
      </c>
      <c r="P803" s="22">
        <f t="shared" si="36"/>
        <v>1</v>
      </c>
      <c r="Q803" s="22">
        <f t="shared" si="37"/>
        <v>2346</v>
      </c>
      <c r="R803" s="22">
        <f t="shared" si="38"/>
        <v>2346</v>
      </c>
    </row>
    <row r="804" spans="1:18" x14ac:dyDescent="0.2">
      <c r="A804" s="567">
        <v>1934</v>
      </c>
      <c r="B804" s="568" t="s">
        <v>1872</v>
      </c>
      <c r="C804" s="568" t="s">
        <v>1873</v>
      </c>
      <c r="D804" s="567">
        <v>5462</v>
      </c>
      <c r="E804" s="567">
        <v>31</v>
      </c>
      <c r="F804" s="567">
        <v>6</v>
      </c>
      <c r="G804" s="567">
        <v>315</v>
      </c>
      <c r="H804" s="567">
        <v>3120</v>
      </c>
      <c r="O804" s="568" t="s">
        <v>1583</v>
      </c>
      <c r="P804" s="22">
        <f t="shared" si="36"/>
        <v>3</v>
      </c>
      <c r="Q804" s="22">
        <f t="shared" si="37"/>
        <v>2347</v>
      </c>
      <c r="R804" s="22">
        <f t="shared" si="38"/>
        <v>2349</v>
      </c>
    </row>
    <row r="805" spans="1:18" x14ac:dyDescent="0.2">
      <c r="A805" s="567">
        <v>1933</v>
      </c>
      <c r="B805" s="568" t="s">
        <v>1872</v>
      </c>
      <c r="C805" s="568" t="s">
        <v>1874</v>
      </c>
      <c r="D805" s="567">
        <v>5461</v>
      </c>
      <c r="E805" s="567">
        <v>31</v>
      </c>
      <c r="F805" s="567">
        <v>6</v>
      </c>
      <c r="G805" s="567">
        <v>315</v>
      </c>
      <c r="H805" s="567">
        <v>3120</v>
      </c>
      <c r="O805" s="568" t="s">
        <v>745</v>
      </c>
      <c r="P805" s="22">
        <f t="shared" si="36"/>
        <v>5</v>
      </c>
      <c r="Q805" s="22">
        <f t="shared" si="37"/>
        <v>2350</v>
      </c>
      <c r="R805" s="22">
        <f t="shared" si="38"/>
        <v>2354</v>
      </c>
    </row>
    <row r="806" spans="1:18" x14ac:dyDescent="0.2">
      <c r="A806" s="567">
        <v>1932</v>
      </c>
      <c r="B806" s="568" t="s">
        <v>1872</v>
      </c>
      <c r="C806" s="568" t="s">
        <v>1872</v>
      </c>
      <c r="D806" s="567">
        <v>5460</v>
      </c>
      <c r="E806" s="567">
        <v>31</v>
      </c>
      <c r="F806" s="567">
        <v>6</v>
      </c>
      <c r="G806" s="567">
        <v>315</v>
      </c>
      <c r="H806" s="567">
        <v>3120</v>
      </c>
      <c r="O806" s="568" t="s">
        <v>185</v>
      </c>
      <c r="P806" s="22">
        <f t="shared" si="36"/>
        <v>5</v>
      </c>
      <c r="Q806" s="22">
        <f t="shared" si="37"/>
        <v>2355</v>
      </c>
      <c r="R806" s="22">
        <f t="shared" si="38"/>
        <v>2359</v>
      </c>
    </row>
    <row r="807" spans="1:18" x14ac:dyDescent="0.2">
      <c r="A807" s="567">
        <v>1438</v>
      </c>
      <c r="B807" s="568" t="s">
        <v>1587</v>
      </c>
      <c r="C807" s="568" t="s">
        <v>1587</v>
      </c>
      <c r="D807" s="567">
        <v>3930</v>
      </c>
      <c r="E807" s="567">
        <v>11</v>
      </c>
      <c r="F807" s="567">
        <v>2</v>
      </c>
      <c r="G807" s="567">
        <v>236</v>
      </c>
      <c r="H807" s="567">
        <v>2150</v>
      </c>
      <c r="O807" s="568" t="s">
        <v>2198</v>
      </c>
      <c r="P807" s="22">
        <f t="shared" si="36"/>
        <v>3</v>
      </c>
      <c r="Q807" s="22">
        <f t="shared" si="37"/>
        <v>2360</v>
      </c>
      <c r="R807" s="22">
        <f t="shared" si="38"/>
        <v>2362</v>
      </c>
    </row>
    <row r="808" spans="1:18" x14ac:dyDescent="0.2">
      <c r="A808" s="567">
        <v>832</v>
      </c>
      <c r="B808" s="568" t="s">
        <v>463</v>
      </c>
      <c r="C808" s="568" t="s">
        <v>462</v>
      </c>
      <c r="D808" s="567">
        <v>2070</v>
      </c>
      <c r="E808" s="567">
        <v>19</v>
      </c>
      <c r="F808" s="567">
        <v>18</v>
      </c>
      <c r="G808" s="567">
        <v>117</v>
      </c>
      <c r="H808" s="567">
        <v>1130</v>
      </c>
      <c r="O808" s="568" t="s">
        <v>658</v>
      </c>
      <c r="P808" s="22">
        <f t="shared" si="36"/>
        <v>2</v>
      </c>
      <c r="Q808" s="22">
        <f t="shared" si="37"/>
        <v>2363</v>
      </c>
      <c r="R808" s="22">
        <f t="shared" si="38"/>
        <v>2364</v>
      </c>
    </row>
    <row r="809" spans="1:18" x14ac:dyDescent="0.2">
      <c r="A809" s="567">
        <v>2491</v>
      </c>
      <c r="B809" s="568" t="s">
        <v>2066</v>
      </c>
      <c r="C809" s="568" t="s">
        <v>2066</v>
      </c>
      <c r="D809" s="567">
        <v>7160</v>
      </c>
      <c r="E809" s="567">
        <v>20</v>
      </c>
      <c r="F809" s="567">
        <v>5</v>
      </c>
      <c r="G809" s="567">
        <v>336</v>
      </c>
      <c r="H809" s="567">
        <v>3130</v>
      </c>
      <c r="O809" s="568" t="s">
        <v>2456</v>
      </c>
      <c r="P809" s="22">
        <f t="shared" si="36"/>
        <v>1</v>
      </c>
      <c r="Q809" s="22">
        <f t="shared" si="37"/>
        <v>2365</v>
      </c>
      <c r="R809" s="22">
        <f t="shared" si="38"/>
        <v>2365</v>
      </c>
    </row>
    <row r="810" spans="1:18" x14ac:dyDescent="0.2">
      <c r="A810" s="567">
        <v>1339</v>
      </c>
      <c r="B810" s="568" t="s">
        <v>1101</v>
      </c>
      <c r="C810" s="568" t="s">
        <v>1100</v>
      </c>
      <c r="D810" s="567">
        <v>3645</v>
      </c>
      <c r="E810" s="567">
        <v>12</v>
      </c>
      <c r="F810" s="567">
        <v>3</v>
      </c>
      <c r="G810" s="567">
        <v>216</v>
      </c>
      <c r="H810" s="567">
        <v>2100</v>
      </c>
      <c r="O810" s="568" t="s">
        <v>1829</v>
      </c>
      <c r="P810" s="22">
        <f t="shared" si="36"/>
        <v>1</v>
      </c>
      <c r="Q810" s="22">
        <f t="shared" si="37"/>
        <v>2366</v>
      </c>
      <c r="R810" s="22">
        <f t="shared" si="38"/>
        <v>2366</v>
      </c>
    </row>
    <row r="811" spans="1:18" x14ac:dyDescent="0.2">
      <c r="A811" s="567">
        <v>1340</v>
      </c>
      <c r="B811" s="568" t="s">
        <v>1101</v>
      </c>
      <c r="C811" s="568" t="s">
        <v>1130</v>
      </c>
      <c r="D811" s="567">
        <v>3646</v>
      </c>
      <c r="E811" s="567">
        <v>12</v>
      </c>
      <c r="F811" s="567">
        <v>3</v>
      </c>
      <c r="G811" s="567">
        <v>216</v>
      </c>
      <c r="H811" s="567">
        <v>2100</v>
      </c>
      <c r="O811" s="568" t="s">
        <v>2900</v>
      </c>
      <c r="P811" s="22">
        <f t="shared" si="36"/>
        <v>11</v>
      </c>
      <c r="Q811" s="22">
        <f t="shared" si="37"/>
        <v>2367</v>
      </c>
      <c r="R811" s="22">
        <f t="shared" si="38"/>
        <v>2377</v>
      </c>
    </row>
    <row r="812" spans="1:18" x14ac:dyDescent="0.2">
      <c r="A812" s="567">
        <v>886</v>
      </c>
      <c r="B812" s="568" t="s">
        <v>93</v>
      </c>
      <c r="C812" s="568" t="s">
        <v>93</v>
      </c>
      <c r="D812" s="567">
        <v>2260</v>
      </c>
      <c r="E812" s="567">
        <v>18</v>
      </c>
      <c r="F812" s="567">
        <v>19</v>
      </c>
      <c r="G812" s="567">
        <v>136</v>
      </c>
      <c r="H812" s="567">
        <v>1101</v>
      </c>
      <c r="O812" s="568" t="s">
        <v>1841</v>
      </c>
      <c r="P812" s="22">
        <f t="shared" si="36"/>
        <v>9</v>
      </c>
      <c r="Q812" s="22">
        <f t="shared" si="37"/>
        <v>2378</v>
      </c>
      <c r="R812" s="22">
        <f t="shared" si="38"/>
        <v>2386</v>
      </c>
    </row>
    <row r="813" spans="1:18" x14ac:dyDescent="0.2">
      <c r="A813" s="567">
        <v>425</v>
      </c>
      <c r="B813" s="568" t="s">
        <v>645</v>
      </c>
      <c r="C813" s="568" t="s">
        <v>645</v>
      </c>
      <c r="D813" s="567">
        <v>795</v>
      </c>
      <c r="E813" s="567">
        <v>24</v>
      </c>
      <c r="F813" s="567">
        <v>1</v>
      </c>
      <c r="G813" s="567">
        <v>125</v>
      </c>
      <c r="H813" s="567">
        <v>1150</v>
      </c>
      <c r="O813" s="568" t="s">
        <v>1842</v>
      </c>
      <c r="P813" s="22">
        <f t="shared" si="36"/>
        <v>1</v>
      </c>
      <c r="Q813" s="22">
        <f t="shared" si="37"/>
        <v>2387</v>
      </c>
      <c r="R813" s="22">
        <f t="shared" si="38"/>
        <v>2387</v>
      </c>
    </row>
    <row r="814" spans="1:18" x14ac:dyDescent="0.2">
      <c r="A814" s="567">
        <v>887</v>
      </c>
      <c r="B814" s="568" t="s">
        <v>81</v>
      </c>
      <c r="C814" s="568" t="s">
        <v>46</v>
      </c>
      <c r="D814" s="567">
        <v>2270</v>
      </c>
      <c r="E814" s="567">
        <v>19</v>
      </c>
      <c r="F814" s="567">
        <v>19</v>
      </c>
      <c r="G814" s="567">
        <v>136</v>
      </c>
      <c r="H814" s="567">
        <v>1101</v>
      </c>
      <c r="O814" s="568" t="s">
        <v>2043</v>
      </c>
      <c r="P814" s="22">
        <f t="shared" si="36"/>
        <v>8</v>
      </c>
      <c r="Q814" s="22">
        <f t="shared" si="37"/>
        <v>2388</v>
      </c>
      <c r="R814" s="22">
        <f t="shared" si="38"/>
        <v>2395</v>
      </c>
    </row>
    <row r="815" spans="1:18" x14ac:dyDescent="0.2">
      <c r="A815" s="567">
        <v>888</v>
      </c>
      <c r="B815" s="568" t="s">
        <v>81</v>
      </c>
      <c r="C815" s="568" t="s">
        <v>95</v>
      </c>
      <c r="D815" s="567">
        <v>2271</v>
      </c>
      <c r="E815" s="567">
        <v>19</v>
      </c>
      <c r="F815" s="567">
        <v>19</v>
      </c>
      <c r="G815" s="567">
        <v>136</v>
      </c>
      <c r="H815" s="567">
        <v>1101</v>
      </c>
      <c r="O815" s="568" t="s">
        <v>1281</v>
      </c>
      <c r="P815" s="22">
        <f t="shared" si="36"/>
        <v>2</v>
      </c>
      <c r="Q815" s="22">
        <f t="shared" si="37"/>
        <v>2396</v>
      </c>
      <c r="R815" s="22">
        <f t="shared" si="38"/>
        <v>2397</v>
      </c>
    </row>
    <row r="816" spans="1:18" x14ac:dyDescent="0.2">
      <c r="A816" s="567">
        <v>889</v>
      </c>
      <c r="B816" s="568" t="s">
        <v>81</v>
      </c>
      <c r="C816" s="568" t="s">
        <v>96</v>
      </c>
      <c r="D816" s="567">
        <v>2272</v>
      </c>
      <c r="E816" s="567">
        <v>19</v>
      </c>
      <c r="F816" s="567">
        <v>19</v>
      </c>
      <c r="G816" s="567">
        <v>136</v>
      </c>
      <c r="H816" s="567">
        <v>1101</v>
      </c>
      <c r="O816" s="568" t="s">
        <v>1114</v>
      </c>
      <c r="P816" s="22">
        <f t="shared" si="36"/>
        <v>4</v>
      </c>
      <c r="Q816" s="22">
        <f t="shared" si="37"/>
        <v>2398</v>
      </c>
      <c r="R816" s="22">
        <f t="shared" si="38"/>
        <v>2401</v>
      </c>
    </row>
    <row r="817" spans="1:18" x14ac:dyDescent="0.2">
      <c r="A817" s="567">
        <v>890</v>
      </c>
      <c r="B817" s="568" t="s">
        <v>81</v>
      </c>
      <c r="C817" s="568" t="s">
        <v>97</v>
      </c>
      <c r="D817" s="567">
        <v>2273</v>
      </c>
      <c r="E817" s="567">
        <v>19</v>
      </c>
      <c r="F817" s="567">
        <v>19</v>
      </c>
      <c r="G817" s="567">
        <v>136</v>
      </c>
      <c r="H817" s="567">
        <v>1101</v>
      </c>
      <c r="O817" s="568" t="s">
        <v>1343</v>
      </c>
      <c r="P817" s="22">
        <f t="shared" si="36"/>
        <v>3</v>
      </c>
      <c r="Q817" s="22">
        <f t="shared" si="37"/>
        <v>2402</v>
      </c>
      <c r="R817" s="22">
        <f t="shared" si="38"/>
        <v>2404</v>
      </c>
    </row>
    <row r="818" spans="1:18" x14ac:dyDescent="0.2">
      <c r="A818" s="567">
        <v>891</v>
      </c>
      <c r="B818" s="568" t="s">
        <v>81</v>
      </c>
      <c r="C818" s="568" t="s">
        <v>98</v>
      </c>
      <c r="D818" s="567">
        <v>2274</v>
      </c>
      <c r="E818" s="567">
        <v>19</v>
      </c>
      <c r="F818" s="567">
        <v>19</v>
      </c>
      <c r="G818" s="567">
        <v>136</v>
      </c>
      <c r="H818" s="567">
        <v>1101</v>
      </c>
      <c r="O818" s="568" t="s">
        <v>2510</v>
      </c>
      <c r="P818" s="22">
        <f t="shared" si="36"/>
        <v>6</v>
      </c>
      <c r="Q818" s="22">
        <f t="shared" si="37"/>
        <v>2405</v>
      </c>
      <c r="R818" s="22">
        <f t="shared" si="38"/>
        <v>2410</v>
      </c>
    </row>
    <row r="819" spans="1:18" x14ac:dyDescent="0.2">
      <c r="A819" s="567">
        <v>1858</v>
      </c>
      <c r="B819" s="568" t="s">
        <v>1812</v>
      </c>
      <c r="C819" s="568" t="s">
        <v>1811</v>
      </c>
      <c r="D819" s="567">
        <v>5183</v>
      </c>
      <c r="E819" s="567">
        <v>10</v>
      </c>
      <c r="F819" s="567">
        <v>5</v>
      </c>
      <c r="G819" s="567">
        <v>316</v>
      </c>
      <c r="H819" s="567">
        <v>3110</v>
      </c>
      <c r="O819" s="568" t="s">
        <v>2963</v>
      </c>
      <c r="P819" s="22">
        <f t="shared" si="36"/>
        <v>1</v>
      </c>
      <c r="Q819" s="22">
        <f t="shared" si="37"/>
        <v>2411</v>
      </c>
      <c r="R819" s="22">
        <f t="shared" si="38"/>
        <v>2411</v>
      </c>
    </row>
    <row r="820" spans="1:18" x14ac:dyDescent="0.2">
      <c r="A820" s="567">
        <v>1857</v>
      </c>
      <c r="B820" s="568" t="s">
        <v>1812</v>
      </c>
      <c r="C820" s="568" t="s">
        <v>1813</v>
      </c>
      <c r="D820" s="567">
        <v>5182</v>
      </c>
      <c r="E820" s="567">
        <v>10</v>
      </c>
      <c r="F820" s="567">
        <v>5</v>
      </c>
      <c r="G820" s="567">
        <v>316</v>
      </c>
      <c r="H820" s="567">
        <v>3110</v>
      </c>
      <c r="O820" s="568" t="s">
        <v>2843</v>
      </c>
      <c r="P820" s="22">
        <f t="shared" si="36"/>
        <v>1</v>
      </c>
      <c r="Q820" s="22">
        <f t="shared" si="37"/>
        <v>2412</v>
      </c>
      <c r="R820" s="22">
        <f t="shared" si="38"/>
        <v>2412</v>
      </c>
    </row>
    <row r="821" spans="1:18" x14ac:dyDescent="0.2">
      <c r="A821" s="567">
        <v>1856</v>
      </c>
      <c r="B821" s="568" t="s">
        <v>1812</v>
      </c>
      <c r="C821" s="568" t="s">
        <v>1814</v>
      </c>
      <c r="D821" s="567">
        <v>5181</v>
      </c>
      <c r="E821" s="567">
        <v>10</v>
      </c>
      <c r="F821" s="567">
        <v>5</v>
      </c>
      <c r="G821" s="567">
        <v>316</v>
      </c>
      <c r="H821" s="567">
        <v>3110</v>
      </c>
      <c r="O821" s="568" t="s">
        <v>2104</v>
      </c>
      <c r="P821" s="22">
        <f t="shared" si="36"/>
        <v>8</v>
      </c>
      <c r="Q821" s="22">
        <f t="shared" si="37"/>
        <v>2413</v>
      </c>
      <c r="R821" s="22">
        <f t="shared" si="38"/>
        <v>2420</v>
      </c>
    </row>
    <row r="822" spans="1:18" x14ac:dyDescent="0.2">
      <c r="A822" s="567">
        <v>1855</v>
      </c>
      <c r="B822" s="568" t="s">
        <v>1812</v>
      </c>
      <c r="C822" s="568" t="s">
        <v>1812</v>
      </c>
      <c r="D822" s="567">
        <v>5180</v>
      </c>
      <c r="E822" s="567">
        <v>10</v>
      </c>
      <c r="F822" s="567">
        <v>5</v>
      </c>
      <c r="G822" s="567">
        <v>316</v>
      </c>
      <c r="H822" s="567">
        <v>3110</v>
      </c>
      <c r="O822" s="568" t="s">
        <v>1857</v>
      </c>
      <c r="P822" s="22">
        <f t="shared" si="36"/>
        <v>1</v>
      </c>
      <c r="Q822" s="22">
        <f t="shared" si="37"/>
        <v>2421</v>
      </c>
      <c r="R822" s="22">
        <f t="shared" si="38"/>
        <v>2421</v>
      </c>
    </row>
    <row r="823" spans="1:18" x14ac:dyDescent="0.2">
      <c r="A823" s="567">
        <v>1113</v>
      </c>
      <c r="B823" s="568" t="s">
        <v>1487</v>
      </c>
      <c r="C823" s="568" t="s">
        <v>1486</v>
      </c>
      <c r="D823" s="567">
        <v>2873</v>
      </c>
      <c r="E823" s="567">
        <v>117</v>
      </c>
      <c r="F823" s="567">
        <v>21</v>
      </c>
      <c r="G823" s="567">
        <v>225</v>
      </c>
      <c r="H823" s="567">
        <v>2140</v>
      </c>
      <c r="O823" s="568" t="s">
        <v>2352</v>
      </c>
      <c r="P823" s="22">
        <f t="shared" si="36"/>
        <v>2</v>
      </c>
      <c r="Q823" s="22">
        <f t="shared" si="37"/>
        <v>2422</v>
      </c>
      <c r="R823" s="22">
        <f t="shared" si="38"/>
        <v>2423</v>
      </c>
    </row>
    <row r="824" spans="1:18" x14ac:dyDescent="0.2">
      <c r="A824" s="567">
        <v>1114</v>
      </c>
      <c r="B824" s="568" t="s">
        <v>1487</v>
      </c>
      <c r="C824" s="568" t="s">
        <v>1501</v>
      </c>
      <c r="D824" s="567">
        <v>2874</v>
      </c>
      <c r="E824" s="567">
        <v>117</v>
      </c>
      <c r="F824" s="567">
        <v>21</v>
      </c>
      <c r="G824" s="567">
        <v>225</v>
      </c>
      <c r="H824" s="567">
        <v>2140</v>
      </c>
      <c r="O824" s="568" t="s">
        <v>143</v>
      </c>
      <c r="P824" s="22">
        <f t="shared" si="36"/>
        <v>3</v>
      </c>
      <c r="Q824" s="22">
        <f t="shared" si="37"/>
        <v>2424</v>
      </c>
      <c r="R824" s="22">
        <f t="shared" si="38"/>
        <v>2426</v>
      </c>
    </row>
    <row r="825" spans="1:18" x14ac:dyDescent="0.2">
      <c r="A825" s="567">
        <v>1112</v>
      </c>
      <c r="B825" s="568" t="s">
        <v>1487</v>
      </c>
      <c r="C825" s="568" t="s">
        <v>1504</v>
      </c>
      <c r="D825" s="567">
        <v>2872</v>
      </c>
      <c r="E825" s="567">
        <v>117</v>
      </c>
      <c r="F825" s="567">
        <v>21</v>
      </c>
      <c r="G825" s="567">
        <v>225</v>
      </c>
      <c r="H825" s="567">
        <v>2140</v>
      </c>
      <c r="O825" s="568" t="s">
        <v>2421</v>
      </c>
      <c r="P825" s="22">
        <f t="shared" si="36"/>
        <v>2</v>
      </c>
      <c r="Q825" s="22">
        <f t="shared" si="37"/>
        <v>2427</v>
      </c>
      <c r="R825" s="22">
        <f t="shared" si="38"/>
        <v>2428</v>
      </c>
    </row>
    <row r="826" spans="1:18" x14ac:dyDescent="0.2">
      <c r="A826" s="567">
        <v>1111</v>
      </c>
      <c r="B826" s="568" t="s">
        <v>1487</v>
      </c>
      <c r="C826" s="568" t="s">
        <v>1505</v>
      </c>
      <c r="D826" s="567">
        <v>2871</v>
      </c>
      <c r="E826" s="567">
        <v>117</v>
      </c>
      <c r="F826" s="567">
        <v>21</v>
      </c>
      <c r="G826" s="567">
        <v>225</v>
      </c>
      <c r="H826" s="567">
        <v>2140</v>
      </c>
      <c r="O826" s="568" t="s">
        <v>2174</v>
      </c>
      <c r="P826" s="22">
        <f t="shared" si="36"/>
        <v>1</v>
      </c>
      <c r="Q826" s="22">
        <f t="shared" si="37"/>
        <v>2429</v>
      </c>
      <c r="R826" s="22">
        <f t="shared" si="38"/>
        <v>2429</v>
      </c>
    </row>
    <row r="827" spans="1:18" x14ac:dyDescent="0.2">
      <c r="A827" s="567">
        <v>1110</v>
      </c>
      <c r="B827" s="568" t="s">
        <v>1487</v>
      </c>
      <c r="C827" s="568" t="s">
        <v>1316</v>
      </c>
      <c r="D827" s="567">
        <v>2870</v>
      </c>
      <c r="E827" s="567">
        <v>117</v>
      </c>
      <c r="F827" s="567">
        <v>21</v>
      </c>
      <c r="G827" s="567">
        <v>225</v>
      </c>
      <c r="H827" s="567">
        <v>2140</v>
      </c>
      <c r="O827" s="568" t="s">
        <v>1231</v>
      </c>
      <c r="P827" s="22">
        <f t="shared" si="36"/>
        <v>1</v>
      </c>
      <c r="Q827" s="22">
        <f t="shared" si="37"/>
        <v>2430</v>
      </c>
      <c r="R827" s="22">
        <f t="shared" si="38"/>
        <v>2430</v>
      </c>
    </row>
    <row r="828" spans="1:18" x14ac:dyDescent="0.2">
      <c r="A828" s="567">
        <v>2942</v>
      </c>
      <c r="B828" s="568" t="s">
        <v>3274</v>
      </c>
      <c r="C828" s="568" t="s">
        <v>3274</v>
      </c>
      <c r="D828" s="567">
        <v>8470</v>
      </c>
      <c r="E828" s="567">
        <v>35</v>
      </c>
      <c r="F828" s="567">
        <v>14</v>
      </c>
      <c r="G828" s="567">
        <v>425</v>
      </c>
      <c r="H828" s="567">
        <v>4170</v>
      </c>
      <c r="O828" s="568" t="s">
        <v>566</v>
      </c>
      <c r="P828" s="22">
        <f t="shared" si="36"/>
        <v>1</v>
      </c>
      <c r="Q828" s="22">
        <f t="shared" si="37"/>
        <v>2431</v>
      </c>
      <c r="R828" s="22">
        <f t="shared" si="38"/>
        <v>2431</v>
      </c>
    </row>
    <row r="829" spans="1:18" x14ac:dyDescent="0.2">
      <c r="A829" s="567">
        <v>2949</v>
      </c>
      <c r="B829" s="568" t="s">
        <v>3268</v>
      </c>
      <c r="C829" s="568" t="s">
        <v>3268</v>
      </c>
      <c r="D829" s="567">
        <v>8500</v>
      </c>
      <c r="E829" s="567">
        <v>36</v>
      </c>
      <c r="F829" s="567">
        <v>12</v>
      </c>
      <c r="G829" s="567">
        <v>425</v>
      </c>
      <c r="H829" s="567">
        <v>4170</v>
      </c>
      <c r="O829" s="568" t="s">
        <v>2898</v>
      </c>
      <c r="P829" s="22">
        <f t="shared" si="36"/>
        <v>3</v>
      </c>
      <c r="Q829" s="22">
        <f t="shared" si="37"/>
        <v>2432</v>
      </c>
      <c r="R829" s="22">
        <f t="shared" si="38"/>
        <v>2434</v>
      </c>
    </row>
    <row r="830" spans="1:18" x14ac:dyDescent="0.2">
      <c r="A830" s="567">
        <v>1848</v>
      </c>
      <c r="B830" s="568" t="s">
        <v>1816</v>
      </c>
      <c r="C830" s="568" t="s">
        <v>1815</v>
      </c>
      <c r="D830" s="567">
        <v>5161</v>
      </c>
      <c r="E830" s="567">
        <v>11</v>
      </c>
      <c r="F830" s="567">
        <v>3</v>
      </c>
      <c r="G830" s="567">
        <v>316</v>
      </c>
      <c r="H830" s="567">
        <v>3110</v>
      </c>
      <c r="O830" s="568" t="s">
        <v>105</v>
      </c>
      <c r="P830" s="22">
        <f t="shared" si="36"/>
        <v>5</v>
      </c>
      <c r="Q830" s="22">
        <f t="shared" si="37"/>
        <v>2435</v>
      </c>
      <c r="R830" s="22">
        <f t="shared" si="38"/>
        <v>2439</v>
      </c>
    </row>
    <row r="831" spans="1:18" x14ac:dyDescent="0.2">
      <c r="A831" s="567">
        <v>1850</v>
      </c>
      <c r="B831" s="568" t="s">
        <v>1816</v>
      </c>
      <c r="C831" s="568" t="s">
        <v>1817</v>
      </c>
      <c r="D831" s="567">
        <v>5163</v>
      </c>
      <c r="E831" s="567">
        <v>11</v>
      </c>
      <c r="F831" s="567">
        <v>3</v>
      </c>
      <c r="G831" s="567">
        <v>316</v>
      </c>
      <c r="H831" s="567">
        <v>3110</v>
      </c>
      <c r="O831" s="568" t="s">
        <v>2654</v>
      </c>
      <c r="P831" s="22">
        <f t="shared" si="36"/>
        <v>7</v>
      </c>
      <c r="Q831" s="22">
        <f t="shared" si="37"/>
        <v>2440</v>
      </c>
      <c r="R831" s="22">
        <f t="shared" si="38"/>
        <v>2446</v>
      </c>
    </row>
    <row r="832" spans="1:18" x14ac:dyDescent="0.2">
      <c r="A832" s="567">
        <v>1852</v>
      </c>
      <c r="B832" s="568" t="s">
        <v>1816</v>
      </c>
      <c r="C832" s="568" t="s">
        <v>1819</v>
      </c>
      <c r="D832" s="567">
        <v>5165</v>
      </c>
      <c r="E832" s="567">
        <v>11</v>
      </c>
      <c r="F832" s="567">
        <v>3</v>
      </c>
      <c r="G832" s="567">
        <v>316</v>
      </c>
      <c r="H832" s="567">
        <v>3110</v>
      </c>
      <c r="O832" s="568" t="s">
        <v>1073</v>
      </c>
      <c r="P832" s="22">
        <f t="shared" si="36"/>
        <v>3</v>
      </c>
      <c r="Q832" s="22">
        <f t="shared" si="37"/>
        <v>2447</v>
      </c>
      <c r="R832" s="22">
        <f t="shared" si="38"/>
        <v>2449</v>
      </c>
    </row>
    <row r="833" spans="1:18" x14ac:dyDescent="0.2">
      <c r="A833" s="567">
        <v>1851</v>
      </c>
      <c r="B833" s="568" t="s">
        <v>1816</v>
      </c>
      <c r="C833" s="568" t="s">
        <v>1820</v>
      </c>
      <c r="D833" s="567">
        <v>5164</v>
      </c>
      <c r="E833" s="567">
        <v>11</v>
      </c>
      <c r="F833" s="567">
        <v>3</v>
      </c>
      <c r="G833" s="567">
        <v>316</v>
      </c>
      <c r="H833" s="567">
        <v>3110</v>
      </c>
      <c r="O833" s="568" t="s">
        <v>1046</v>
      </c>
      <c r="P833" s="22">
        <f t="shared" si="36"/>
        <v>5</v>
      </c>
      <c r="Q833" s="22">
        <f t="shared" si="37"/>
        <v>2450</v>
      </c>
      <c r="R833" s="22">
        <f t="shared" si="38"/>
        <v>2454</v>
      </c>
    </row>
    <row r="834" spans="1:18" x14ac:dyDescent="0.2">
      <c r="A834" s="567">
        <v>1849</v>
      </c>
      <c r="B834" s="568" t="s">
        <v>1816</v>
      </c>
      <c r="C834" s="568" t="s">
        <v>1823</v>
      </c>
      <c r="D834" s="567">
        <v>5162</v>
      </c>
      <c r="E834" s="567">
        <v>11</v>
      </c>
      <c r="F834" s="567">
        <v>3</v>
      </c>
      <c r="G834" s="567">
        <v>316</v>
      </c>
      <c r="H834" s="567">
        <v>3110</v>
      </c>
      <c r="O834" s="568" t="s">
        <v>2754</v>
      </c>
      <c r="P834" s="22">
        <f t="shared" si="36"/>
        <v>3</v>
      </c>
      <c r="Q834" s="22">
        <f t="shared" si="37"/>
        <v>2455</v>
      </c>
      <c r="R834" s="22">
        <f t="shared" si="38"/>
        <v>2457</v>
      </c>
    </row>
    <row r="835" spans="1:18" x14ac:dyDescent="0.2">
      <c r="A835" s="567">
        <v>1847</v>
      </c>
      <c r="B835" s="568" t="s">
        <v>1816</v>
      </c>
      <c r="C835" s="568" t="s">
        <v>1816</v>
      </c>
      <c r="D835" s="567">
        <v>5160</v>
      </c>
      <c r="E835" s="567">
        <v>11</v>
      </c>
      <c r="F835" s="567">
        <v>3</v>
      </c>
      <c r="G835" s="567">
        <v>316</v>
      </c>
      <c r="H835" s="567">
        <v>3110</v>
      </c>
      <c r="O835" s="568" t="s">
        <v>3271</v>
      </c>
      <c r="P835" s="22">
        <f t="shared" si="36"/>
        <v>1</v>
      </c>
      <c r="Q835" s="22">
        <f t="shared" si="37"/>
        <v>2458</v>
      </c>
      <c r="R835" s="22">
        <f t="shared" si="38"/>
        <v>2458</v>
      </c>
    </row>
    <row r="836" spans="1:18" x14ac:dyDescent="0.2">
      <c r="A836" s="567">
        <v>2215</v>
      </c>
      <c r="B836" s="568" t="s">
        <v>2428</v>
      </c>
      <c r="C836" s="568" t="s">
        <v>1706</v>
      </c>
      <c r="D836" s="567">
        <v>6420</v>
      </c>
      <c r="E836" s="567">
        <v>57</v>
      </c>
      <c r="F836" s="567">
        <v>14</v>
      </c>
      <c r="G836" s="567">
        <v>327</v>
      </c>
      <c r="H836" s="567">
        <v>3170</v>
      </c>
      <c r="O836" s="568" t="s">
        <v>2966</v>
      </c>
      <c r="P836" s="22">
        <f t="shared" si="36"/>
        <v>18</v>
      </c>
      <c r="Q836" s="22">
        <f t="shared" si="37"/>
        <v>2459</v>
      </c>
      <c r="R836" s="22">
        <f t="shared" si="38"/>
        <v>2476</v>
      </c>
    </row>
    <row r="837" spans="1:18" x14ac:dyDescent="0.2">
      <c r="A837" s="567">
        <v>2216</v>
      </c>
      <c r="B837" s="568" t="s">
        <v>2428</v>
      </c>
      <c r="C837" s="568" t="s">
        <v>2437</v>
      </c>
      <c r="D837" s="567">
        <v>6421</v>
      </c>
      <c r="E837" s="567">
        <v>57</v>
      </c>
      <c r="F837" s="567">
        <v>14</v>
      </c>
      <c r="G837" s="567">
        <v>327</v>
      </c>
      <c r="H837" s="567">
        <v>3170</v>
      </c>
      <c r="O837" s="568" t="s">
        <v>2357</v>
      </c>
      <c r="P837" s="22">
        <f t="shared" si="36"/>
        <v>7</v>
      </c>
      <c r="Q837" s="22">
        <f t="shared" si="37"/>
        <v>2477</v>
      </c>
      <c r="R837" s="22">
        <f t="shared" si="38"/>
        <v>2483</v>
      </c>
    </row>
    <row r="838" spans="1:18" x14ac:dyDescent="0.2">
      <c r="A838" s="567">
        <v>1640</v>
      </c>
      <c r="B838" s="568" t="s">
        <v>1168</v>
      </c>
      <c r="C838" s="568" t="s">
        <v>1168</v>
      </c>
      <c r="D838" s="567">
        <v>4500</v>
      </c>
      <c r="E838" s="567">
        <v>24</v>
      </c>
      <c r="F838" s="567">
        <v>17</v>
      </c>
      <c r="G838" s="567">
        <v>237</v>
      </c>
      <c r="H838" s="567">
        <v>2110</v>
      </c>
      <c r="O838" s="568" t="s">
        <v>250</v>
      </c>
      <c r="P838" s="22">
        <f t="shared" si="36"/>
        <v>4</v>
      </c>
      <c r="Q838" s="22">
        <f t="shared" si="37"/>
        <v>2484</v>
      </c>
      <c r="R838" s="22">
        <f t="shared" si="38"/>
        <v>2487</v>
      </c>
    </row>
    <row r="839" spans="1:18" x14ac:dyDescent="0.2">
      <c r="A839" s="567">
        <v>1641</v>
      </c>
      <c r="B839" s="568" t="s">
        <v>1168</v>
      </c>
      <c r="C839" s="568" t="s">
        <v>1182</v>
      </c>
      <c r="D839" s="567">
        <v>4501</v>
      </c>
      <c r="E839" s="567">
        <v>24</v>
      </c>
      <c r="F839" s="567">
        <v>17</v>
      </c>
      <c r="G839" s="567">
        <v>237</v>
      </c>
      <c r="H839" s="567">
        <v>2110</v>
      </c>
      <c r="O839" s="568" t="s">
        <v>2059</v>
      </c>
      <c r="P839" s="22">
        <f t="shared" si="36"/>
        <v>1</v>
      </c>
      <c r="Q839" s="22">
        <f t="shared" si="37"/>
        <v>2488</v>
      </c>
      <c r="R839" s="22">
        <f t="shared" si="38"/>
        <v>2488</v>
      </c>
    </row>
    <row r="840" spans="1:18" x14ac:dyDescent="0.2">
      <c r="A840" s="567">
        <v>1838</v>
      </c>
      <c r="B840" s="568" t="s">
        <v>1861</v>
      </c>
      <c r="C840" s="568" t="s">
        <v>1860</v>
      </c>
      <c r="D840" s="567">
        <v>5113</v>
      </c>
      <c r="E840" s="567">
        <v>12</v>
      </c>
      <c r="F840" s="567">
        <v>3</v>
      </c>
      <c r="G840" s="567">
        <v>316</v>
      </c>
      <c r="H840" s="567">
        <v>3110</v>
      </c>
      <c r="O840" s="568" t="s">
        <v>63</v>
      </c>
      <c r="P840" s="22">
        <f t="shared" si="36"/>
        <v>1</v>
      </c>
      <c r="Q840" s="22">
        <f t="shared" si="37"/>
        <v>2489</v>
      </c>
      <c r="R840" s="22">
        <f t="shared" si="38"/>
        <v>2489</v>
      </c>
    </row>
    <row r="841" spans="1:18" x14ac:dyDescent="0.2">
      <c r="A841" s="567">
        <v>1837</v>
      </c>
      <c r="B841" s="568" t="s">
        <v>1861</v>
      </c>
      <c r="C841" s="568" t="s">
        <v>1862</v>
      </c>
      <c r="D841" s="567">
        <v>5112</v>
      </c>
      <c r="E841" s="567">
        <v>12</v>
      </c>
      <c r="F841" s="567">
        <v>3</v>
      </c>
      <c r="G841" s="567">
        <v>316</v>
      </c>
      <c r="H841" s="567">
        <v>3110</v>
      </c>
      <c r="O841" s="568" t="s">
        <v>2175</v>
      </c>
      <c r="P841" s="22">
        <f t="shared" si="36"/>
        <v>1</v>
      </c>
      <c r="Q841" s="22">
        <f t="shared" si="37"/>
        <v>2490</v>
      </c>
      <c r="R841" s="22">
        <f t="shared" si="38"/>
        <v>2490</v>
      </c>
    </row>
    <row r="842" spans="1:18" x14ac:dyDescent="0.2">
      <c r="A842" s="567">
        <v>1836</v>
      </c>
      <c r="B842" s="568" t="s">
        <v>1861</v>
      </c>
      <c r="C842" s="568" t="s">
        <v>1863</v>
      </c>
      <c r="D842" s="567">
        <v>5111</v>
      </c>
      <c r="E842" s="567">
        <v>12</v>
      </c>
      <c r="F842" s="567">
        <v>3</v>
      </c>
      <c r="G842" s="567">
        <v>316</v>
      </c>
      <c r="H842" s="567">
        <v>3110</v>
      </c>
      <c r="O842" s="568" t="s">
        <v>663</v>
      </c>
      <c r="P842" s="22">
        <f t="shared" si="36"/>
        <v>2</v>
      </c>
      <c r="Q842" s="22">
        <f t="shared" si="37"/>
        <v>2491</v>
      </c>
      <c r="R842" s="22">
        <f t="shared" si="38"/>
        <v>2492</v>
      </c>
    </row>
    <row r="843" spans="1:18" x14ac:dyDescent="0.2">
      <c r="A843" s="567">
        <v>1835</v>
      </c>
      <c r="B843" s="568" t="s">
        <v>1861</v>
      </c>
      <c r="C843" s="568" t="s">
        <v>1861</v>
      </c>
      <c r="D843" s="567">
        <v>5110</v>
      </c>
      <c r="E843" s="567">
        <v>12</v>
      </c>
      <c r="F843" s="567">
        <v>3</v>
      </c>
      <c r="G843" s="567">
        <v>316</v>
      </c>
      <c r="H843" s="567">
        <v>3110</v>
      </c>
      <c r="O843" s="568" t="s">
        <v>775</v>
      </c>
      <c r="P843" s="22">
        <f t="shared" si="36"/>
        <v>6</v>
      </c>
      <c r="Q843" s="22">
        <f t="shared" si="37"/>
        <v>2493</v>
      </c>
      <c r="R843" s="22">
        <f t="shared" si="38"/>
        <v>2498</v>
      </c>
    </row>
    <row r="844" spans="1:18" x14ac:dyDescent="0.2">
      <c r="A844" s="567">
        <v>1469</v>
      </c>
      <c r="B844" s="568" t="s">
        <v>1608</v>
      </c>
      <c r="C844" s="568" t="s">
        <v>1608</v>
      </c>
      <c r="D844" s="567">
        <v>4040</v>
      </c>
      <c r="E844" s="567">
        <v>13</v>
      </c>
      <c r="F844" s="567">
        <v>7</v>
      </c>
      <c r="G844" s="567">
        <v>236</v>
      </c>
      <c r="H844" s="567">
        <v>2150</v>
      </c>
      <c r="O844" s="568" t="s">
        <v>476</v>
      </c>
      <c r="P844" s="22">
        <f t="shared" si="36"/>
        <v>1</v>
      </c>
      <c r="Q844" s="22">
        <f t="shared" si="37"/>
        <v>2499</v>
      </c>
      <c r="R844" s="22">
        <f t="shared" si="38"/>
        <v>2499</v>
      </c>
    </row>
    <row r="845" spans="1:18" x14ac:dyDescent="0.2">
      <c r="A845" s="567">
        <v>1470</v>
      </c>
      <c r="B845" s="568" t="s">
        <v>1608</v>
      </c>
      <c r="C845" s="568" t="s">
        <v>211</v>
      </c>
      <c r="D845" s="567">
        <v>4041</v>
      </c>
      <c r="E845" s="567">
        <v>13</v>
      </c>
      <c r="F845" s="567">
        <v>7</v>
      </c>
      <c r="G845" s="567">
        <v>236</v>
      </c>
      <c r="H845" s="567">
        <v>2150</v>
      </c>
      <c r="O845" s="568" t="s">
        <v>3121</v>
      </c>
      <c r="P845" s="22">
        <f t="shared" si="36"/>
        <v>11</v>
      </c>
      <c r="Q845" s="22">
        <f t="shared" si="37"/>
        <v>2500</v>
      </c>
      <c r="R845" s="22">
        <f t="shared" si="38"/>
        <v>2510</v>
      </c>
    </row>
    <row r="846" spans="1:18" x14ac:dyDescent="0.2">
      <c r="A846" s="567">
        <v>1471</v>
      </c>
      <c r="B846" s="568" t="s">
        <v>1608</v>
      </c>
      <c r="C846" s="568" t="s">
        <v>1609</v>
      </c>
      <c r="D846" s="567">
        <v>4042</v>
      </c>
      <c r="E846" s="567">
        <v>13</v>
      </c>
      <c r="F846" s="567">
        <v>7</v>
      </c>
      <c r="G846" s="567">
        <v>236</v>
      </c>
      <c r="H846" s="567">
        <v>2150</v>
      </c>
      <c r="O846" s="568" t="s">
        <v>2102</v>
      </c>
      <c r="P846" s="22">
        <f t="shared" si="36"/>
        <v>1</v>
      </c>
      <c r="Q846" s="22">
        <f t="shared" si="37"/>
        <v>2511</v>
      </c>
      <c r="R846" s="22">
        <f t="shared" si="38"/>
        <v>2511</v>
      </c>
    </row>
    <row r="847" spans="1:18" x14ac:dyDescent="0.2">
      <c r="A847" s="567">
        <v>2265</v>
      </c>
      <c r="B847" s="568" t="s">
        <v>2267</v>
      </c>
      <c r="C847" s="568" t="s">
        <v>2266</v>
      </c>
      <c r="D847" s="567">
        <v>6537</v>
      </c>
      <c r="E847" s="567">
        <v>22</v>
      </c>
      <c r="F847" s="567">
        <v>11</v>
      </c>
      <c r="G847" s="567">
        <v>335</v>
      </c>
      <c r="H847" s="567">
        <v>3151</v>
      </c>
      <c r="O847" s="568" t="s">
        <v>1393</v>
      </c>
      <c r="P847" s="22">
        <f t="shared" ref="P847:P910" si="39">COUNTIF($B$13:$B$3400,O847)</f>
        <v>1</v>
      </c>
      <c r="Q847" s="22">
        <f t="shared" si="37"/>
        <v>2512</v>
      </c>
      <c r="R847" s="22">
        <f t="shared" si="38"/>
        <v>2512</v>
      </c>
    </row>
    <row r="848" spans="1:18" x14ac:dyDescent="0.2">
      <c r="A848" s="567">
        <v>2264</v>
      </c>
      <c r="B848" s="568" t="s">
        <v>2267</v>
      </c>
      <c r="C848" s="568" t="s">
        <v>187</v>
      </c>
      <c r="D848" s="567">
        <v>6536</v>
      </c>
      <c r="E848" s="567">
        <v>22</v>
      </c>
      <c r="F848" s="567">
        <v>11</v>
      </c>
      <c r="G848" s="567">
        <v>335</v>
      </c>
      <c r="H848" s="567">
        <v>3151</v>
      </c>
      <c r="O848" s="568" t="s">
        <v>1840</v>
      </c>
      <c r="P848" s="22">
        <f t="shared" si="39"/>
        <v>5</v>
      </c>
      <c r="Q848" s="22">
        <f t="shared" si="37"/>
        <v>2513</v>
      </c>
      <c r="R848" s="22">
        <f t="shared" si="38"/>
        <v>2517</v>
      </c>
    </row>
    <row r="849" spans="1:18" x14ac:dyDescent="0.2">
      <c r="A849" s="567">
        <v>2263</v>
      </c>
      <c r="B849" s="568" t="s">
        <v>2267</v>
      </c>
      <c r="C849" s="568" t="s">
        <v>879</v>
      </c>
      <c r="D849" s="567">
        <v>6535</v>
      </c>
      <c r="E849" s="567">
        <v>22</v>
      </c>
      <c r="F849" s="567">
        <v>11</v>
      </c>
      <c r="G849" s="567">
        <v>335</v>
      </c>
      <c r="H849" s="567">
        <v>3151</v>
      </c>
      <c r="O849" s="568" t="s">
        <v>2215</v>
      </c>
      <c r="P849" s="22">
        <f t="shared" si="39"/>
        <v>1</v>
      </c>
      <c r="Q849" s="22">
        <f t="shared" ref="Q849:Q912" si="40">R848+1</f>
        <v>2518</v>
      </c>
      <c r="R849" s="22">
        <f t="shared" ref="R849:R912" si="41">R848+P849</f>
        <v>2518</v>
      </c>
    </row>
    <row r="850" spans="1:18" x14ac:dyDescent="0.2">
      <c r="A850" s="567">
        <v>2260</v>
      </c>
      <c r="B850" s="568" t="s">
        <v>2267</v>
      </c>
      <c r="C850" s="568" t="s">
        <v>1440</v>
      </c>
      <c r="D850" s="567">
        <v>6532</v>
      </c>
      <c r="E850" s="567">
        <v>22</v>
      </c>
      <c r="F850" s="567">
        <v>11</v>
      </c>
      <c r="G850" s="567">
        <v>335</v>
      </c>
      <c r="H850" s="567">
        <v>3151</v>
      </c>
      <c r="O850" s="568" t="s">
        <v>1032</v>
      </c>
      <c r="P850" s="22">
        <f t="shared" si="39"/>
        <v>3</v>
      </c>
      <c r="Q850" s="22">
        <f t="shared" si="40"/>
        <v>2519</v>
      </c>
      <c r="R850" s="22">
        <f t="shared" si="41"/>
        <v>2521</v>
      </c>
    </row>
    <row r="851" spans="1:18" x14ac:dyDescent="0.2">
      <c r="A851" s="567">
        <v>2261</v>
      </c>
      <c r="B851" s="568" t="s">
        <v>2267</v>
      </c>
      <c r="C851" s="568" t="s">
        <v>2270</v>
      </c>
      <c r="D851" s="567">
        <v>6533</v>
      </c>
      <c r="E851" s="567">
        <v>22</v>
      </c>
      <c r="F851" s="567">
        <v>11</v>
      </c>
      <c r="G851" s="567">
        <v>335</v>
      </c>
      <c r="H851" s="567">
        <v>3151</v>
      </c>
      <c r="O851" s="568" t="s">
        <v>3022</v>
      </c>
      <c r="P851" s="22">
        <f t="shared" si="39"/>
        <v>6</v>
      </c>
      <c r="Q851" s="22">
        <f t="shared" si="40"/>
        <v>2522</v>
      </c>
      <c r="R851" s="22">
        <f t="shared" si="41"/>
        <v>2527</v>
      </c>
    </row>
    <row r="852" spans="1:18" x14ac:dyDescent="0.2">
      <c r="A852" s="567">
        <v>2259</v>
      </c>
      <c r="B852" s="568" t="s">
        <v>2267</v>
      </c>
      <c r="C852" s="568" t="s">
        <v>2271</v>
      </c>
      <c r="D852" s="567">
        <v>6531</v>
      </c>
      <c r="E852" s="567">
        <v>22</v>
      </c>
      <c r="F852" s="567">
        <v>11</v>
      </c>
      <c r="G852" s="567">
        <v>335</v>
      </c>
      <c r="H852" s="567">
        <v>3151</v>
      </c>
      <c r="O852" s="568" t="s">
        <v>3044</v>
      </c>
      <c r="P852" s="22">
        <f t="shared" si="39"/>
        <v>14</v>
      </c>
      <c r="Q852" s="22">
        <f t="shared" si="40"/>
        <v>2528</v>
      </c>
      <c r="R852" s="22">
        <f t="shared" si="41"/>
        <v>2541</v>
      </c>
    </row>
    <row r="853" spans="1:18" x14ac:dyDescent="0.2">
      <c r="A853" s="567">
        <v>2258</v>
      </c>
      <c r="B853" s="568" t="s">
        <v>2267</v>
      </c>
      <c r="C853" s="568" t="s">
        <v>2267</v>
      </c>
      <c r="D853" s="567">
        <v>6530</v>
      </c>
      <c r="E853" s="567">
        <v>22</v>
      </c>
      <c r="F853" s="567">
        <v>11</v>
      </c>
      <c r="G853" s="567">
        <v>335</v>
      </c>
      <c r="H853" s="567">
        <v>3151</v>
      </c>
      <c r="O853" s="568" t="s">
        <v>2052</v>
      </c>
      <c r="P853" s="22">
        <f t="shared" si="39"/>
        <v>1</v>
      </c>
      <c r="Q853" s="22">
        <f t="shared" si="40"/>
        <v>2542</v>
      </c>
      <c r="R853" s="22">
        <f t="shared" si="41"/>
        <v>2542</v>
      </c>
    </row>
    <row r="854" spans="1:18" x14ac:dyDescent="0.2">
      <c r="A854" s="567">
        <v>2262</v>
      </c>
      <c r="B854" s="568" t="s">
        <v>2267</v>
      </c>
      <c r="C854" s="568" t="s">
        <v>2275</v>
      </c>
      <c r="D854" s="567">
        <v>6534</v>
      </c>
      <c r="E854" s="567">
        <v>22</v>
      </c>
      <c r="F854" s="567">
        <v>11</v>
      </c>
      <c r="G854" s="567">
        <v>335</v>
      </c>
      <c r="H854" s="567">
        <v>3151</v>
      </c>
      <c r="O854" s="568" t="s">
        <v>1942</v>
      </c>
      <c r="P854" s="22">
        <f t="shared" si="39"/>
        <v>3</v>
      </c>
      <c r="Q854" s="22">
        <f t="shared" si="40"/>
        <v>2543</v>
      </c>
      <c r="R854" s="22">
        <f t="shared" si="41"/>
        <v>2545</v>
      </c>
    </row>
    <row r="855" spans="1:18" x14ac:dyDescent="0.2">
      <c r="A855" s="567">
        <v>2266</v>
      </c>
      <c r="B855" s="568" t="s">
        <v>2267</v>
      </c>
      <c r="C855" s="568" t="s">
        <v>2276</v>
      </c>
      <c r="D855" s="567">
        <v>6538</v>
      </c>
      <c r="E855" s="567">
        <v>22</v>
      </c>
      <c r="F855" s="567">
        <v>11</v>
      </c>
      <c r="G855" s="567">
        <v>335</v>
      </c>
      <c r="H855" s="567">
        <v>3151</v>
      </c>
      <c r="O855" s="568" t="s">
        <v>71</v>
      </c>
      <c r="P855" s="22">
        <f t="shared" si="39"/>
        <v>1</v>
      </c>
      <c r="Q855" s="22">
        <f t="shared" si="40"/>
        <v>2546</v>
      </c>
      <c r="R855" s="22">
        <f t="shared" si="41"/>
        <v>2546</v>
      </c>
    </row>
    <row r="856" spans="1:18" x14ac:dyDescent="0.2">
      <c r="A856" s="567">
        <v>2704</v>
      </c>
      <c r="B856" s="568" t="s">
        <v>2910</v>
      </c>
      <c r="C856" s="568" t="s">
        <v>2909</v>
      </c>
      <c r="D856" s="567">
        <v>7782</v>
      </c>
      <c r="E856" s="567">
        <v>89</v>
      </c>
      <c r="F856" s="567">
        <v>14</v>
      </c>
      <c r="G856" s="567">
        <v>415</v>
      </c>
      <c r="H856" s="567">
        <v>4131</v>
      </c>
      <c r="O856" s="568" t="s">
        <v>3021</v>
      </c>
      <c r="P856" s="22">
        <f t="shared" si="39"/>
        <v>2</v>
      </c>
      <c r="Q856" s="22">
        <f t="shared" si="40"/>
        <v>2547</v>
      </c>
      <c r="R856" s="22">
        <f t="shared" si="41"/>
        <v>2548</v>
      </c>
    </row>
    <row r="857" spans="1:18" x14ac:dyDescent="0.2">
      <c r="A857" s="567">
        <v>2702</v>
      </c>
      <c r="B857" s="568" t="s">
        <v>2910</v>
      </c>
      <c r="C857" s="568" t="s">
        <v>2929</v>
      </c>
      <c r="D857" s="567">
        <v>7780</v>
      </c>
      <c r="E857" s="567">
        <v>89</v>
      </c>
      <c r="F857" s="567">
        <v>14</v>
      </c>
      <c r="G857" s="567">
        <v>415</v>
      </c>
      <c r="H857" s="567">
        <v>4131</v>
      </c>
      <c r="O857" s="568" t="s">
        <v>1511</v>
      </c>
      <c r="P857" s="22">
        <f t="shared" si="39"/>
        <v>4</v>
      </c>
      <c r="Q857" s="22">
        <f t="shared" si="40"/>
        <v>2549</v>
      </c>
      <c r="R857" s="22">
        <f t="shared" si="41"/>
        <v>2552</v>
      </c>
    </row>
    <row r="858" spans="1:18" x14ac:dyDescent="0.2">
      <c r="A858" s="567">
        <v>2703</v>
      </c>
      <c r="B858" s="568" t="s">
        <v>2910</v>
      </c>
      <c r="C858" s="568" t="s">
        <v>2949</v>
      </c>
      <c r="D858" s="567">
        <v>7781</v>
      </c>
      <c r="E858" s="567">
        <v>89</v>
      </c>
      <c r="F858" s="567">
        <v>14</v>
      </c>
      <c r="G858" s="567">
        <v>415</v>
      </c>
      <c r="H858" s="567">
        <v>4131</v>
      </c>
      <c r="O858" s="568" t="s">
        <v>3284</v>
      </c>
      <c r="P858" s="22">
        <f t="shared" si="39"/>
        <v>8</v>
      </c>
      <c r="Q858" s="22">
        <f t="shared" si="40"/>
        <v>2553</v>
      </c>
      <c r="R858" s="22">
        <f t="shared" si="41"/>
        <v>2560</v>
      </c>
    </row>
    <row r="859" spans="1:18" x14ac:dyDescent="0.2">
      <c r="A859" s="567">
        <v>2660</v>
      </c>
      <c r="B859" s="568" t="s">
        <v>2907</v>
      </c>
      <c r="C859" s="568" t="s">
        <v>2906</v>
      </c>
      <c r="D859" s="567">
        <v>7660</v>
      </c>
      <c r="E859" s="567">
        <v>19</v>
      </c>
      <c r="F859" s="567">
        <v>18</v>
      </c>
      <c r="G859" s="567">
        <v>415</v>
      </c>
      <c r="H859" s="567">
        <v>4131</v>
      </c>
      <c r="O859" s="568" t="s">
        <v>2676</v>
      </c>
      <c r="P859" s="22">
        <f t="shared" si="39"/>
        <v>7</v>
      </c>
      <c r="Q859" s="22">
        <f t="shared" si="40"/>
        <v>2561</v>
      </c>
      <c r="R859" s="22">
        <f t="shared" si="41"/>
        <v>2567</v>
      </c>
    </row>
    <row r="860" spans="1:18" x14ac:dyDescent="0.2">
      <c r="A860" s="567">
        <v>1508</v>
      </c>
      <c r="B860" s="568" t="s">
        <v>1648</v>
      </c>
      <c r="C860" s="568" t="s">
        <v>1648</v>
      </c>
      <c r="D860" s="567">
        <v>4140</v>
      </c>
      <c r="E860" s="567">
        <v>25</v>
      </c>
      <c r="F860" s="567">
        <v>7</v>
      </c>
      <c r="G860" s="567">
        <v>235</v>
      </c>
      <c r="H860" s="567">
        <v>2160</v>
      </c>
      <c r="O860" s="568" t="s">
        <v>2403</v>
      </c>
      <c r="P860" s="22">
        <f t="shared" si="39"/>
        <v>2</v>
      </c>
      <c r="Q860" s="22">
        <f t="shared" si="40"/>
        <v>2568</v>
      </c>
      <c r="R860" s="22">
        <f t="shared" si="41"/>
        <v>2569</v>
      </c>
    </row>
    <row r="861" spans="1:18" x14ac:dyDescent="0.2">
      <c r="A861" s="567">
        <v>1191</v>
      </c>
      <c r="B861" s="568" t="s">
        <v>1438</v>
      </c>
      <c r="C861" s="568" t="s">
        <v>1438</v>
      </c>
      <c r="D861" s="567">
        <v>3160</v>
      </c>
      <c r="E861" s="567">
        <v>17</v>
      </c>
      <c r="F861" s="567">
        <v>2</v>
      </c>
      <c r="G861" s="567">
        <v>226</v>
      </c>
      <c r="H861" s="567">
        <v>2130</v>
      </c>
      <c r="O861" s="568" t="s">
        <v>2395</v>
      </c>
      <c r="P861" s="22">
        <f t="shared" si="39"/>
        <v>2</v>
      </c>
      <c r="Q861" s="22">
        <f t="shared" si="40"/>
        <v>2570</v>
      </c>
      <c r="R861" s="22">
        <f t="shared" si="41"/>
        <v>2571</v>
      </c>
    </row>
    <row r="862" spans="1:18" x14ac:dyDescent="0.2">
      <c r="A862" s="567">
        <v>2053</v>
      </c>
      <c r="B862" s="568" t="s">
        <v>2359</v>
      </c>
      <c r="C862" s="568" t="s">
        <v>2358</v>
      </c>
      <c r="D862" s="567">
        <v>5822</v>
      </c>
      <c r="E862" s="567">
        <v>15</v>
      </c>
      <c r="F862" s="567">
        <v>16</v>
      </c>
      <c r="G862" s="567">
        <v>325</v>
      </c>
      <c r="H862" s="567">
        <v>3160</v>
      </c>
      <c r="O862" s="568" t="s">
        <v>844</v>
      </c>
      <c r="P862" s="22">
        <f t="shared" si="39"/>
        <v>1</v>
      </c>
      <c r="Q862" s="22">
        <f t="shared" si="40"/>
        <v>2572</v>
      </c>
      <c r="R862" s="22">
        <f t="shared" si="41"/>
        <v>2572</v>
      </c>
    </row>
    <row r="863" spans="1:18" x14ac:dyDescent="0.2">
      <c r="A863" s="567">
        <v>2051</v>
      </c>
      <c r="B863" s="568" t="s">
        <v>2359</v>
      </c>
      <c r="C863" s="568" t="s">
        <v>2359</v>
      </c>
      <c r="D863" s="567">
        <v>5820</v>
      </c>
      <c r="E863" s="567">
        <v>15</v>
      </c>
      <c r="F863" s="567">
        <v>16</v>
      </c>
      <c r="G863" s="567">
        <v>325</v>
      </c>
      <c r="H863" s="567">
        <v>3160</v>
      </c>
      <c r="O863" s="568" t="s">
        <v>460</v>
      </c>
      <c r="P863" s="22">
        <f t="shared" si="39"/>
        <v>1</v>
      </c>
      <c r="Q863" s="22">
        <f t="shared" si="40"/>
        <v>2573</v>
      </c>
      <c r="R863" s="22">
        <f t="shared" si="41"/>
        <v>2573</v>
      </c>
    </row>
    <row r="864" spans="1:18" x14ac:dyDescent="0.2">
      <c r="A864" s="567">
        <v>2052</v>
      </c>
      <c r="B864" s="568" t="s">
        <v>2359</v>
      </c>
      <c r="C864" s="568" t="s">
        <v>335</v>
      </c>
      <c r="D864" s="567">
        <v>5821</v>
      </c>
      <c r="E864" s="567">
        <v>15</v>
      </c>
      <c r="F864" s="567">
        <v>16</v>
      </c>
      <c r="G864" s="567">
        <v>325</v>
      </c>
      <c r="H864" s="567">
        <v>3160</v>
      </c>
      <c r="O864" s="568" t="s">
        <v>2087</v>
      </c>
      <c r="P864" s="22">
        <f t="shared" si="39"/>
        <v>5</v>
      </c>
      <c r="Q864" s="22">
        <f t="shared" si="40"/>
        <v>2574</v>
      </c>
      <c r="R864" s="22">
        <f t="shared" si="41"/>
        <v>2578</v>
      </c>
    </row>
    <row r="865" spans="1:18" x14ac:dyDescent="0.2">
      <c r="A865" s="567">
        <v>1172</v>
      </c>
      <c r="B865" s="568" t="s">
        <v>1392</v>
      </c>
      <c r="C865" s="568" t="s">
        <v>1392</v>
      </c>
      <c r="D865" s="567">
        <v>3075</v>
      </c>
      <c r="E865" s="567">
        <v>18</v>
      </c>
      <c r="F865" s="567">
        <v>1</v>
      </c>
      <c r="G865" s="567">
        <v>226</v>
      </c>
      <c r="H865" s="567">
        <v>2130</v>
      </c>
      <c r="O865" s="568" t="s">
        <v>2822</v>
      </c>
      <c r="P865" s="22">
        <f t="shared" si="39"/>
        <v>1</v>
      </c>
      <c r="Q865" s="22">
        <f t="shared" si="40"/>
        <v>2579</v>
      </c>
      <c r="R865" s="22">
        <f t="shared" si="41"/>
        <v>2579</v>
      </c>
    </row>
    <row r="866" spans="1:18" x14ac:dyDescent="0.2">
      <c r="A866" s="567">
        <v>408</v>
      </c>
      <c r="B866" s="568" t="s">
        <v>620</v>
      </c>
      <c r="C866" s="568" t="s">
        <v>619</v>
      </c>
      <c r="D866" s="567">
        <v>753</v>
      </c>
      <c r="E866" s="567">
        <v>26</v>
      </c>
      <c r="F866" s="567">
        <v>2</v>
      </c>
      <c r="G866" s="567">
        <v>125</v>
      </c>
      <c r="H866" s="567">
        <v>1150</v>
      </c>
      <c r="O866" s="568" t="s">
        <v>417</v>
      </c>
      <c r="P866" s="22">
        <f t="shared" si="39"/>
        <v>1</v>
      </c>
      <c r="Q866" s="22">
        <f t="shared" si="40"/>
        <v>2580</v>
      </c>
      <c r="R866" s="22">
        <f t="shared" si="41"/>
        <v>2580</v>
      </c>
    </row>
    <row r="867" spans="1:18" x14ac:dyDescent="0.2">
      <c r="A867" s="567">
        <v>405</v>
      </c>
      <c r="B867" s="568" t="s">
        <v>620</v>
      </c>
      <c r="C867" s="568" t="s">
        <v>620</v>
      </c>
      <c r="D867" s="567">
        <v>750</v>
      </c>
      <c r="E867" s="567">
        <v>26</v>
      </c>
      <c r="F867" s="567">
        <v>2</v>
      </c>
      <c r="G867" s="567">
        <v>125</v>
      </c>
      <c r="H867" s="567">
        <v>1150</v>
      </c>
      <c r="O867" s="568" t="s">
        <v>1959</v>
      </c>
      <c r="P867" s="22">
        <f t="shared" si="39"/>
        <v>5</v>
      </c>
      <c r="Q867" s="22">
        <f t="shared" si="40"/>
        <v>2581</v>
      </c>
      <c r="R867" s="22">
        <f t="shared" si="41"/>
        <v>2585</v>
      </c>
    </row>
    <row r="868" spans="1:18" x14ac:dyDescent="0.2">
      <c r="A868" s="567">
        <v>406</v>
      </c>
      <c r="B868" s="568" t="s">
        <v>620</v>
      </c>
      <c r="C868" s="568" t="s">
        <v>621</v>
      </c>
      <c r="D868" s="567">
        <v>751</v>
      </c>
      <c r="E868" s="567">
        <v>26</v>
      </c>
      <c r="F868" s="567">
        <v>2</v>
      </c>
      <c r="G868" s="567">
        <v>125</v>
      </c>
      <c r="H868" s="567">
        <v>1150</v>
      </c>
      <c r="O868" s="568" t="s">
        <v>3182</v>
      </c>
      <c r="P868" s="22">
        <f t="shared" si="39"/>
        <v>1</v>
      </c>
      <c r="Q868" s="22">
        <f t="shared" si="40"/>
        <v>2586</v>
      </c>
      <c r="R868" s="22">
        <f t="shared" si="41"/>
        <v>2586</v>
      </c>
    </row>
    <row r="869" spans="1:18" x14ac:dyDescent="0.2">
      <c r="A869" s="567">
        <v>407</v>
      </c>
      <c r="B869" s="568" t="s">
        <v>620</v>
      </c>
      <c r="C869" s="568" t="s">
        <v>622</v>
      </c>
      <c r="D869" s="567">
        <v>752</v>
      </c>
      <c r="E869" s="567">
        <v>26</v>
      </c>
      <c r="F869" s="567">
        <v>2</v>
      </c>
      <c r="G869" s="567">
        <v>125</v>
      </c>
      <c r="H869" s="567">
        <v>1150</v>
      </c>
      <c r="O869" s="568" t="s">
        <v>1206</v>
      </c>
      <c r="P869" s="22">
        <f t="shared" si="39"/>
        <v>7</v>
      </c>
      <c r="Q869" s="22">
        <f t="shared" si="40"/>
        <v>2587</v>
      </c>
      <c r="R869" s="22">
        <f t="shared" si="41"/>
        <v>2593</v>
      </c>
    </row>
    <row r="870" spans="1:18" x14ac:dyDescent="0.2">
      <c r="A870" s="567">
        <v>409</v>
      </c>
      <c r="B870" s="568" t="s">
        <v>620</v>
      </c>
      <c r="C870" s="568" t="s">
        <v>624</v>
      </c>
      <c r="D870" s="567">
        <v>754</v>
      </c>
      <c r="E870" s="567">
        <v>26</v>
      </c>
      <c r="F870" s="567">
        <v>2</v>
      </c>
      <c r="G870" s="567">
        <v>125</v>
      </c>
      <c r="H870" s="567">
        <v>1150</v>
      </c>
      <c r="O870" s="568" t="s">
        <v>1756</v>
      </c>
      <c r="P870" s="22">
        <f t="shared" si="39"/>
        <v>1</v>
      </c>
      <c r="Q870" s="22">
        <f t="shared" si="40"/>
        <v>2594</v>
      </c>
      <c r="R870" s="22">
        <f t="shared" si="41"/>
        <v>2594</v>
      </c>
    </row>
    <row r="871" spans="1:18" x14ac:dyDescent="0.2">
      <c r="A871" s="567">
        <v>410</v>
      </c>
      <c r="B871" s="568" t="s">
        <v>620</v>
      </c>
      <c r="C871" s="568" t="s">
        <v>625</v>
      </c>
      <c r="D871" s="567">
        <v>755</v>
      </c>
      <c r="E871" s="567">
        <v>26</v>
      </c>
      <c r="F871" s="567">
        <v>2</v>
      </c>
      <c r="G871" s="567">
        <v>125</v>
      </c>
      <c r="H871" s="567">
        <v>1150</v>
      </c>
      <c r="O871" s="568" t="s">
        <v>689</v>
      </c>
      <c r="P871" s="22">
        <f t="shared" si="39"/>
        <v>1</v>
      </c>
      <c r="Q871" s="22">
        <f t="shared" si="40"/>
        <v>2595</v>
      </c>
      <c r="R871" s="22">
        <f t="shared" si="41"/>
        <v>2595</v>
      </c>
    </row>
    <row r="872" spans="1:18" x14ac:dyDescent="0.2">
      <c r="A872" s="567">
        <v>411</v>
      </c>
      <c r="B872" s="568" t="s">
        <v>620</v>
      </c>
      <c r="C872" s="568" t="s">
        <v>626</v>
      </c>
      <c r="D872" s="567">
        <v>756</v>
      </c>
      <c r="E872" s="567">
        <v>26</v>
      </c>
      <c r="F872" s="567">
        <v>2</v>
      </c>
      <c r="G872" s="567">
        <v>125</v>
      </c>
      <c r="H872" s="567">
        <v>1150</v>
      </c>
      <c r="O872" s="568" t="s">
        <v>1363</v>
      </c>
      <c r="P872" s="22">
        <f t="shared" si="39"/>
        <v>2</v>
      </c>
      <c r="Q872" s="22">
        <f t="shared" si="40"/>
        <v>2596</v>
      </c>
      <c r="R872" s="22">
        <f t="shared" si="41"/>
        <v>2597</v>
      </c>
    </row>
    <row r="873" spans="1:18" x14ac:dyDescent="0.2">
      <c r="A873" s="567">
        <v>2899</v>
      </c>
      <c r="B873" s="568" t="s">
        <v>3201</v>
      </c>
      <c r="C873" s="568" t="s">
        <v>3201</v>
      </c>
      <c r="D873" s="567">
        <v>8350</v>
      </c>
      <c r="E873" s="567">
        <v>39</v>
      </c>
      <c r="F873" s="567">
        <v>12</v>
      </c>
      <c r="G873" s="567">
        <v>425</v>
      </c>
      <c r="H873" s="567">
        <v>4170</v>
      </c>
      <c r="O873" s="568" t="s">
        <v>2088</v>
      </c>
      <c r="P873" s="22">
        <f t="shared" si="39"/>
        <v>1</v>
      </c>
      <c r="Q873" s="22">
        <f t="shared" si="40"/>
        <v>2598</v>
      </c>
      <c r="R873" s="22">
        <f t="shared" si="41"/>
        <v>2598</v>
      </c>
    </row>
    <row r="874" spans="1:18" x14ac:dyDescent="0.2">
      <c r="A874" s="567">
        <v>2901</v>
      </c>
      <c r="B874" s="568" t="s">
        <v>3201</v>
      </c>
      <c r="C874" s="568" t="s">
        <v>3202</v>
      </c>
      <c r="D874" s="567">
        <v>8352</v>
      </c>
      <c r="E874" s="567">
        <v>39</v>
      </c>
      <c r="F874" s="567">
        <v>12</v>
      </c>
      <c r="G874" s="567">
        <v>425</v>
      </c>
      <c r="H874" s="567">
        <v>4170</v>
      </c>
      <c r="O874" s="568" t="s">
        <v>1401</v>
      </c>
      <c r="P874" s="22">
        <f t="shared" si="39"/>
        <v>4</v>
      </c>
      <c r="Q874" s="22">
        <f t="shared" si="40"/>
        <v>2599</v>
      </c>
      <c r="R874" s="22">
        <f t="shared" si="41"/>
        <v>2602</v>
      </c>
    </row>
    <row r="875" spans="1:18" x14ac:dyDescent="0.2">
      <c r="A875" s="567">
        <v>2902</v>
      </c>
      <c r="B875" s="568" t="s">
        <v>3201</v>
      </c>
      <c r="C875" s="568" t="s">
        <v>3203</v>
      </c>
      <c r="D875" s="567">
        <v>8353</v>
      </c>
      <c r="E875" s="567">
        <v>39</v>
      </c>
      <c r="F875" s="567">
        <v>12</v>
      </c>
      <c r="G875" s="567">
        <v>425</v>
      </c>
      <c r="H875" s="567">
        <v>4170</v>
      </c>
      <c r="O875" s="568" t="s">
        <v>2062</v>
      </c>
      <c r="P875" s="22">
        <f t="shared" si="39"/>
        <v>1</v>
      </c>
      <c r="Q875" s="22">
        <f t="shared" si="40"/>
        <v>2603</v>
      </c>
      <c r="R875" s="22">
        <f t="shared" si="41"/>
        <v>2603</v>
      </c>
    </row>
    <row r="876" spans="1:18" x14ac:dyDescent="0.2">
      <c r="A876" s="567">
        <v>2900</v>
      </c>
      <c r="B876" s="568" t="s">
        <v>3201</v>
      </c>
      <c r="C876" s="568" t="s">
        <v>3204</v>
      </c>
      <c r="D876" s="567">
        <v>8351</v>
      </c>
      <c r="E876" s="567">
        <v>39</v>
      </c>
      <c r="F876" s="567">
        <v>12</v>
      </c>
      <c r="G876" s="567">
        <v>425</v>
      </c>
      <c r="H876" s="567">
        <v>4170</v>
      </c>
      <c r="O876" s="568" t="s">
        <v>905</v>
      </c>
      <c r="P876" s="22">
        <f t="shared" si="39"/>
        <v>9</v>
      </c>
      <c r="Q876" s="22">
        <f t="shared" si="40"/>
        <v>2604</v>
      </c>
      <c r="R876" s="22">
        <f t="shared" si="41"/>
        <v>2612</v>
      </c>
    </row>
    <row r="877" spans="1:18" x14ac:dyDescent="0.2">
      <c r="A877" s="567">
        <v>2904</v>
      </c>
      <c r="B877" s="568" t="s">
        <v>3201</v>
      </c>
      <c r="C877" s="568" t="s">
        <v>2668</v>
      </c>
      <c r="D877" s="567">
        <v>8355</v>
      </c>
      <c r="E877" s="567">
        <v>39</v>
      </c>
      <c r="F877" s="567">
        <v>12</v>
      </c>
      <c r="G877" s="567">
        <v>425</v>
      </c>
      <c r="H877" s="567">
        <v>4170</v>
      </c>
      <c r="O877" s="568" t="s">
        <v>1762</v>
      </c>
      <c r="P877" s="22">
        <f t="shared" si="39"/>
        <v>1</v>
      </c>
      <c r="Q877" s="22">
        <f t="shared" si="40"/>
        <v>2613</v>
      </c>
      <c r="R877" s="22">
        <f t="shared" si="41"/>
        <v>2613</v>
      </c>
    </row>
    <row r="878" spans="1:18" x14ac:dyDescent="0.2">
      <c r="A878" s="567">
        <v>2903</v>
      </c>
      <c r="B878" s="568" t="s">
        <v>3201</v>
      </c>
      <c r="C878" s="568" t="s">
        <v>1585</v>
      </c>
      <c r="D878" s="567">
        <v>8354</v>
      </c>
      <c r="E878" s="567">
        <v>39</v>
      </c>
      <c r="F878" s="567">
        <v>12</v>
      </c>
      <c r="G878" s="567">
        <v>425</v>
      </c>
      <c r="H878" s="567">
        <v>4170</v>
      </c>
      <c r="O878" s="568" t="s">
        <v>2029</v>
      </c>
      <c r="P878" s="22">
        <f t="shared" si="39"/>
        <v>8</v>
      </c>
      <c r="Q878" s="22">
        <f t="shared" si="40"/>
        <v>2614</v>
      </c>
      <c r="R878" s="22">
        <f t="shared" si="41"/>
        <v>2621</v>
      </c>
    </row>
    <row r="879" spans="1:18" x14ac:dyDescent="0.2">
      <c r="A879" s="567">
        <v>514</v>
      </c>
      <c r="B879" s="568" t="s">
        <v>756</v>
      </c>
      <c r="C879" s="568" t="s">
        <v>756</v>
      </c>
      <c r="D879" s="567">
        <v>1035</v>
      </c>
      <c r="E879" s="567">
        <v>14</v>
      </c>
      <c r="F879" s="567">
        <v>1</v>
      </c>
      <c r="G879" s="567">
        <v>118</v>
      </c>
      <c r="H879" s="567">
        <v>1170</v>
      </c>
      <c r="O879" s="568" t="s">
        <v>831</v>
      </c>
      <c r="P879" s="22">
        <f t="shared" si="39"/>
        <v>3</v>
      </c>
      <c r="Q879" s="22">
        <f t="shared" si="40"/>
        <v>2622</v>
      </c>
      <c r="R879" s="22">
        <f t="shared" si="41"/>
        <v>2624</v>
      </c>
    </row>
    <row r="880" spans="1:18" x14ac:dyDescent="0.2">
      <c r="A880" s="567">
        <v>3384</v>
      </c>
      <c r="B880" s="568" t="s">
        <v>3153</v>
      </c>
      <c r="C880" s="568" t="s">
        <v>3153</v>
      </c>
      <c r="D880" s="567">
        <v>9940</v>
      </c>
      <c r="E880" s="567">
        <v>13</v>
      </c>
      <c r="F880" s="567">
        <v>9</v>
      </c>
      <c r="G880" s="567">
        <v>435</v>
      </c>
      <c r="H880" s="567">
        <v>4160</v>
      </c>
      <c r="O880" s="568" t="s">
        <v>203</v>
      </c>
      <c r="P880" s="22">
        <f t="shared" si="39"/>
        <v>8</v>
      </c>
      <c r="Q880" s="22">
        <f t="shared" si="40"/>
        <v>2625</v>
      </c>
      <c r="R880" s="22">
        <f t="shared" si="41"/>
        <v>2632</v>
      </c>
    </row>
    <row r="881" spans="1:18" x14ac:dyDescent="0.2">
      <c r="A881" s="567">
        <v>804</v>
      </c>
      <c r="B881" s="568" t="s">
        <v>834</v>
      </c>
      <c r="C881" s="568" t="s">
        <v>834</v>
      </c>
      <c r="D881" s="567">
        <v>1970</v>
      </c>
      <c r="E881" s="567">
        <v>18</v>
      </c>
      <c r="F881" s="567">
        <v>14</v>
      </c>
      <c r="G881" s="567">
        <v>116</v>
      </c>
      <c r="H881" s="567">
        <v>1180</v>
      </c>
      <c r="O881" s="568" t="s">
        <v>2362</v>
      </c>
      <c r="P881" s="22">
        <f t="shared" si="39"/>
        <v>2</v>
      </c>
      <c r="Q881" s="22">
        <f t="shared" si="40"/>
        <v>2633</v>
      </c>
      <c r="R881" s="22">
        <f t="shared" si="41"/>
        <v>2634</v>
      </c>
    </row>
    <row r="882" spans="1:18" x14ac:dyDescent="0.2">
      <c r="A882" s="567">
        <v>401</v>
      </c>
      <c r="B882" s="568" t="s">
        <v>562</v>
      </c>
      <c r="C882" s="568" t="s">
        <v>562</v>
      </c>
      <c r="D882" s="567">
        <v>735</v>
      </c>
      <c r="E882" s="567">
        <v>27</v>
      </c>
      <c r="F882" s="567">
        <v>1</v>
      </c>
      <c r="G882" s="567">
        <v>125</v>
      </c>
      <c r="H882" s="567">
        <v>1150</v>
      </c>
      <c r="O882" s="568" t="s">
        <v>1357</v>
      </c>
      <c r="P882" s="22">
        <f t="shared" si="39"/>
        <v>3</v>
      </c>
      <c r="Q882" s="22">
        <f t="shared" si="40"/>
        <v>2635</v>
      </c>
      <c r="R882" s="22">
        <f t="shared" si="41"/>
        <v>2637</v>
      </c>
    </row>
    <row r="883" spans="1:18" x14ac:dyDescent="0.2">
      <c r="A883" s="567">
        <v>3076</v>
      </c>
      <c r="B883" s="568" t="s">
        <v>2741</v>
      </c>
      <c r="C883" s="568" t="s">
        <v>2741</v>
      </c>
      <c r="D883" s="567">
        <v>8880</v>
      </c>
      <c r="E883" s="567">
        <v>43</v>
      </c>
      <c r="F883" s="567">
        <v>11</v>
      </c>
      <c r="G883" s="567">
        <v>426</v>
      </c>
      <c r="H883" s="567">
        <v>4110</v>
      </c>
      <c r="O883" s="568" t="s">
        <v>1061</v>
      </c>
      <c r="P883" s="22">
        <f t="shared" si="39"/>
        <v>7</v>
      </c>
      <c r="Q883" s="22">
        <f t="shared" si="40"/>
        <v>2638</v>
      </c>
      <c r="R883" s="22">
        <f t="shared" si="41"/>
        <v>2644</v>
      </c>
    </row>
    <row r="884" spans="1:18" x14ac:dyDescent="0.2">
      <c r="A884" s="567">
        <v>495</v>
      </c>
      <c r="B884" s="568" t="s">
        <v>794</v>
      </c>
      <c r="C884" s="568" t="s">
        <v>794</v>
      </c>
      <c r="D884" s="567">
        <v>980</v>
      </c>
      <c r="E884" s="567">
        <v>15</v>
      </c>
      <c r="F884" s="567">
        <v>1</v>
      </c>
      <c r="G884" s="567">
        <v>118</v>
      </c>
      <c r="H884" s="567">
        <v>1170</v>
      </c>
      <c r="O884" s="568" t="s">
        <v>2164</v>
      </c>
      <c r="P884" s="22">
        <f t="shared" si="39"/>
        <v>3</v>
      </c>
      <c r="Q884" s="22">
        <f t="shared" si="40"/>
        <v>2645</v>
      </c>
      <c r="R884" s="22">
        <f t="shared" si="41"/>
        <v>2647</v>
      </c>
    </row>
    <row r="885" spans="1:18" x14ac:dyDescent="0.2">
      <c r="A885" s="567">
        <v>3082</v>
      </c>
      <c r="B885" s="568" t="s">
        <v>2748</v>
      </c>
      <c r="C885" s="568" t="s">
        <v>2748</v>
      </c>
      <c r="D885" s="567">
        <v>8910</v>
      </c>
      <c r="E885" s="567">
        <v>44</v>
      </c>
      <c r="F885" s="567">
        <v>11</v>
      </c>
      <c r="G885" s="567">
        <v>426</v>
      </c>
      <c r="H885" s="567">
        <v>4110</v>
      </c>
      <c r="O885" s="568" t="s">
        <v>2245</v>
      </c>
      <c r="P885" s="22">
        <f t="shared" si="39"/>
        <v>1</v>
      </c>
      <c r="Q885" s="22">
        <f t="shared" si="40"/>
        <v>2648</v>
      </c>
      <c r="R885" s="22">
        <f t="shared" si="41"/>
        <v>2648</v>
      </c>
    </row>
    <row r="886" spans="1:18" x14ac:dyDescent="0.2">
      <c r="A886" s="567">
        <v>3031</v>
      </c>
      <c r="B886" s="568" t="s">
        <v>2715</v>
      </c>
      <c r="C886" s="568" t="s">
        <v>2715</v>
      </c>
      <c r="D886" s="567">
        <v>8710</v>
      </c>
      <c r="E886" s="567">
        <v>45</v>
      </c>
      <c r="F886" s="567">
        <v>11</v>
      </c>
      <c r="G886" s="567">
        <v>426</v>
      </c>
      <c r="H886" s="567">
        <v>4110</v>
      </c>
      <c r="O886" s="568" t="s">
        <v>107</v>
      </c>
      <c r="P886" s="22">
        <f t="shared" si="39"/>
        <v>10</v>
      </c>
      <c r="Q886" s="22">
        <f t="shared" si="40"/>
        <v>2649</v>
      </c>
      <c r="R886" s="22">
        <f t="shared" si="41"/>
        <v>2658</v>
      </c>
    </row>
    <row r="887" spans="1:18" x14ac:dyDescent="0.2">
      <c r="A887" s="567">
        <v>3032</v>
      </c>
      <c r="B887" s="568" t="s">
        <v>2715</v>
      </c>
      <c r="C887" s="568" t="s">
        <v>2716</v>
      </c>
      <c r="D887" s="567">
        <v>8711</v>
      </c>
      <c r="E887" s="567">
        <v>45</v>
      </c>
      <c r="F887" s="567">
        <v>11</v>
      </c>
      <c r="G887" s="567">
        <v>426</v>
      </c>
      <c r="H887" s="567">
        <v>4110</v>
      </c>
      <c r="O887" s="568" t="s">
        <v>1006</v>
      </c>
      <c r="P887" s="22">
        <f t="shared" si="39"/>
        <v>8</v>
      </c>
      <c r="Q887" s="22">
        <f t="shared" si="40"/>
        <v>2659</v>
      </c>
      <c r="R887" s="22">
        <f t="shared" si="41"/>
        <v>2666</v>
      </c>
    </row>
    <row r="888" spans="1:18" x14ac:dyDescent="0.2">
      <c r="A888" s="567">
        <v>3033</v>
      </c>
      <c r="B888" s="568" t="s">
        <v>2715</v>
      </c>
      <c r="C888" s="568" t="s">
        <v>2717</v>
      </c>
      <c r="D888" s="567">
        <v>8712</v>
      </c>
      <c r="E888" s="567">
        <v>45</v>
      </c>
      <c r="F888" s="567">
        <v>11</v>
      </c>
      <c r="G888" s="567">
        <v>426</v>
      </c>
      <c r="H888" s="567">
        <v>4110</v>
      </c>
      <c r="O888" s="568" t="s">
        <v>628</v>
      </c>
      <c r="P888" s="22">
        <f t="shared" si="39"/>
        <v>4</v>
      </c>
      <c r="Q888" s="22">
        <f t="shared" si="40"/>
        <v>2667</v>
      </c>
      <c r="R888" s="22">
        <f t="shared" si="41"/>
        <v>2670</v>
      </c>
    </row>
    <row r="889" spans="1:18" x14ac:dyDescent="0.2">
      <c r="A889" s="567">
        <v>910</v>
      </c>
      <c r="B889" s="568" t="s">
        <v>69</v>
      </c>
      <c r="C889" s="568" t="s">
        <v>69</v>
      </c>
      <c r="D889" s="567">
        <v>2345</v>
      </c>
      <c r="E889" s="567">
        <v>20</v>
      </c>
      <c r="F889" s="567">
        <v>18</v>
      </c>
      <c r="G889" s="567">
        <v>136</v>
      </c>
      <c r="H889" s="567">
        <v>1101</v>
      </c>
      <c r="O889" s="568" t="s">
        <v>180</v>
      </c>
      <c r="P889" s="22">
        <f t="shared" si="39"/>
        <v>1</v>
      </c>
      <c r="Q889" s="22">
        <f t="shared" si="40"/>
        <v>2671</v>
      </c>
      <c r="R889" s="22">
        <f t="shared" si="41"/>
        <v>2671</v>
      </c>
    </row>
    <row r="890" spans="1:18" x14ac:dyDescent="0.2">
      <c r="A890" s="567">
        <v>1959</v>
      </c>
      <c r="B890" s="568" t="s">
        <v>1978</v>
      </c>
      <c r="C890" s="568" t="s">
        <v>1978</v>
      </c>
      <c r="D890" s="567">
        <v>5540</v>
      </c>
      <c r="E890" s="567">
        <v>33</v>
      </c>
      <c r="F890" s="567">
        <v>3</v>
      </c>
      <c r="G890" s="567">
        <v>315</v>
      </c>
      <c r="H890" s="567">
        <v>3120</v>
      </c>
      <c r="O890" s="568" t="s">
        <v>2129</v>
      </c>
      <c r="P890" s="22">
        <f t="shared" si="39"/>
        <v>4</v>
      </c>
      <c r="Q890" s="22">
        <f t="shared" si="40"/>
        <v>2672</v>
      </c>
      <c r="R890" s="22">
        <f t="shared" si="41"/>
        <v>2675</v>
      </c>
    </row>
    <row r="891" spans="1:18" x14ac:dyDescent="0.2">
      <c r="A891" s="567">
        <v>2064</v>
      </c>
      <c r="B891" s="568" t="s">
        <v>2369</v>
      </c>
      <c r="C891" s="568" t="s">
        <v>2368</v>
      </c>
      <c r="D891" s="567">
        <v>5880</v>
      </c>
      <c r="E891" s="567">
        <v>71</v>
      </c>
      <c r="F891" s="567">
        <v>7</v>
      </c>
      <c r="G891" s="567">
        <v>325</v>
      </c>
      <c r="H891" s="567">
        <v>3160</v>
      </c>
      <c r="O891" s="568" t="s">
        <v>1115</v>
      </c>
      <c r="P891" s="22">
        <f t="shared" si="39"/>
        <v>2</v>
      </c>
      <c r="Q891" s="22">
        <f t="shared" si="40"/>
        <v>2676</v>
      </c>
      <c r="R891" s="22">
        <f t="shared" si="41"/>
        <v>2677</v>
      </c>
    </row>
    <row r="892" spans="1:18" x14ac:dyDescent="0.2">
      <c r="A892" s="567">
        <v>2065</v>
      </c>
      <c r="B892" s="568" t="s">
        <v>2369</v>
      </c>
      <c r="C892" s="568" t="s">
        <v>2376</v>
      </c>
      <c r="D892" s="567">
        <v>5881</v>
      </c>
      <c r="E892" s="567">
        <v>71</v>
      </c>
      <c r="F892" s="567">
        <v>7</v>
      </c>
      <c r="G892" s="567">
        <v>325</v>
      </c>
      <c r="H892" s="567">
        <v>3160</v>
      </c>
      <c r="O892" s="568" t="s">
        <v>2678</v>
      </c>
      <c r="P892" s="22">
        <f t="shared" si="39"/>
        <v>6</v>
      </c>
      <c r="Q892" s="22">
        <f t="shared" si="40"/>
        <v>2678</v>
      </c>
      <c r="R892" s="22">
        <f t="shared" si="41"/>
        <v>2683</v>
      </c>
    </row>
    <row r="893" spans="1:18" x14ac:dyDescent="0.2">
      <c r="A893" s="567">
        <v>1189</v>
      </c>
      <c r="B893" s="568" t="s">
        <v>1436</v>
      </c>
      <c r="C893" s="568" t="s">
        <v>1436</v>
      </c>
      <c r="D893" s="567">
        <v>3150</v>
      </c>
      <c r="E893" s="567">
        <v>20</v>
      </c>
      <c r="F893" s="567">
        <v>2</v>
      </c>
      <c r="G893" s="567">
        <v>226</v>
      </c>
      <c r="H893" s="567">
        <v>2130</v>
      </c>
      <c r="O893" s="568" t="s">
        <v>1748</v>
      </c>
      <c r="P893" s="22">
        <f t="shared" si="39"/>
        <v>1</v>
      </c>
      <c r="Q893" s="22">
        <f t="shared" si="40"/>
        <v>2684</v>
      </c>
      <c r="R893" s="22">
        <f t="shared" si="41"/>
        <v>2684</v>
      </c>
    </row>
    <row r="894" spans="1:18" x14ac:dyDescent="0.2">
      <c r="A894" s="567">
        <v>846</v>
      </c>
      <c r="B894" s="568" t="s">
        <v>475</v>
      </c>
      <c r="C894" s="568" t="s">
        <v>475</v>
      </c>
      <c r="D894" s="567">
        <v>2120</v>
      </c>
      <c r="E894" s="567">
        <v>20</v>
      </c>
      <c r="F894" s="567">
        <v>18</v>
      </c>
      <c r="G894" s="567">
        <v>117</v>
      </c>
      <c r="H894" s="567">
        <v>1130</v>
      </c>
      <c r="O894" s="568" t="s">
        <v>1390</v>
      </c>
      <c r="P894" s="22">
        <f t="shared" si="39"/>
        <v>1</v>
      </c>
      <c r="Q894" s="22">
        <f t="shared" si="40"/>
        <v>2685</v>
      </c>
      <c r="R894" s="22">
        <f t="shared" si="41"/>
        <v>2685</v>
      </c>
    </row>
    <row r="895" spans="1:18" x14ac:dyDescent="0.2">
      <c r="A895" s="567">
        <v>925</v>
      </c>
      <c r="B895" s="568" t="s">
        <v>104</v>
      </c>
      <c r="C895" s="568" t="s">
        <v>104</v>
      </c>
      <c r="D895" s="567">
        <v>2395</v>
      </c>
      <c r="E895" s="567">
        <v>21</v>
      </c>
      <c r="F895" s="567">
        <v>18</v>
      </c>
      <c r="G895" s="567">
        <v>136</v>
      </c>
      <c r="H895" s="567">
        <v>1101</v>
      </c>
      <c r="O895" s="568" t="s">
        <v>752</v>
      </c>
      <c r="P895" s="22">
        <f t="shared" si="39"/>
        <v>1</v>
      </c>
      <c r="Q895" s="22">
        <f t="shared" si="40"/>
        <v>2686</v>
      </c>
      <c r="R895" s="22">
        <f t="shared" si="41"/>
        <v>2686</v>
      </c>
    </row>
    <row r="896" spans="1:18" x14ac:dyDescent="0.2">
      <c r="A896" s="567">
        <v>926</v>
      </c>
      <c r="B896" s="568" t="s">
        <v>104</v>
      </c>
      <c r="C896" s="568" t="s">
        <v>132</v>
      </c>
      <c r="D896" s="567">
        <v>2396</v>
      </c>
      <c r="E896" s="567">
        <v>21</v>
      </c>
      <c r="F896" s="567">
        <v>18</v>
      </c>
      <c r="G896" s="567">
        <v>136</v>
      </c>
      <c r="H896" s="567">
        <v>1101</v>
      </c>
      <c r="O896" s="568" t="s">
        <v>2051</v>
      </c>
      <c r="P896" s="22">
        <f t="shared" si="39"/>
        <v>2</v>
      </c>
      <c r="Q896" s="22">
        <f t="shared" si="40"/>
        <v>2687</v>
      </c>
      <c r="R896" s="22">
        <f t="shared" si="41"/>
        <v>2688</v>
      </c>
    </row>
    <row r="897" spans="1:18" x14ac:dyDescent="0.2">
      <c r="A897" s="567">
        <v>735</v>
      </c>
      <c r="B897" s="568" t="s">
        <v>865</v>
      </c>
      <c r="C897" s="568" t="s">
        <v>864</v>
      </c>
      <c r="D897" s="567">
        <v>1700</v>
      </c>
      <c r="E897" s="567">
        <v>19</v>
      </c>
      <c r="F897" s="567">
        <v>2</v>
      </c>
      <c r="G897" s="567">
        <v>116</v>
      </c>
      <c r="H897" s="567">
        <v>1180</v>
      </c>
      <c r="O897" s="568" t="s">
        <v>1456</v>
      </c>
      <c r="P897" s="22">
        <f t="shared" si="39"/>
        <v>3</v>
      </c>
      <c r="Q897" s="22">
        <f t="shared" si="40"/>
        <v>2689</v>
      </c>
      <c r="R897" s="22">
        <f t="shared" si="41"/>
        <v>2691</v>
      </c>
    </row>
    <row r="898" spans="1:18" x14ac:dyDescent="0.2">
      <c r="A898" s="567">
        <v>1789</v>
      </c>
      <c r="B898" s="568" t="s">
        <v>2184</v>
      </c>
      <c r="C898" s="568" t="s">
        <v>697</v>
      </c>
      <c r="D898" s="567">
        <v>4921</v>
      </c>
      <c r="E898" s="567">
        <v>26</v>
      </c>
      <c r="F898" s="567">
        <v>3</v>
      </c>
      <c r="G898" s="567">
        <v>317</v>
      </c>
      <c r="H898" s="567">
        <v>3140</v>
      </c>
      <c r="O898" s="568" t="s">
        <v>2194</v>
      </c>
      <c r="P898" s="22">
        <f t="shared" si="39"/>
        <v>1</v>
      </c>
      <c r="Q898" s="22">
        <f t="shared" si="40"/>
        <v>2692</v>
      </c>
      <c r="R898" s="22">
        <f t="shared" si="41"/>
        <v>2692</v>
      </c>
    </row>
    <row r="899" spans="1:18" x14ac:dyDescent="0.2">
      <c r="A899" s="567">
        <v>1790</v>
      </c>
      <c r="B899" s="568" t="s">
        <v>2184</v>
      </c>
      <c r="C899" s="568" t="s">
        <v>2185</v>
      </c>
      <c r="D899" s="567">
        <v>4922</v>
      </c>
      <c r="E899" s="567">
        <v>26</v>
      </c>
      <c r="F899" s="567">
        <v>3</v>
      </c>
      <c r="G899" s="567">
        <v>317</v>
      </c>
      <c r="H899" s="567">
        <v>3140</v>
      </c>
      <c r="O899" s="568" t="s">
        <v>2720</v>
      </c>
      <c r="P899" s="22">
        <f t="shared" si="39"/>
        <v>1</v>
      </c>
      <c r="Q899" s="22">
        <f t="shared" si="40"/>
        <v>2693</v>
      </c>
      <c r="R899" s="22">
        <f t="shared" si="41"/>
        <v>2693</v>
      </c>
    </row>
    <row r="900" spans="1:18" x14ac:dyDescent="0.2">
      <c r="A900" s="567">
        <v>1791</v>
      </c>
      <c r="B900" s="568" t="s">
        <v>2184</v>
      </c>
      <c r="C900" s="568" t="s">
        <v>2186</v>
      </c>
      <c r="D900" s="567">
        <v>4923</v>
      </c>
      <c r="E900" s="567">
        <v>26</v>
      </c>
      <c r="F900" s="567">
        <v>3</v>
      </c>
      <c r="G900" s="567">
        <v>317</v>
      </c>
      <c r="H900" s="567">
        <v>3140</v>
      </c>
      <c r="O900" s="568" t="s">
        <v>2188</v>
      </c>
      <c r="P900" s="22">
        <f t="shared" si="39"/>
        <v>3</v>
      </c>
      <c r="Q900" s="22">
        <f t="shared" si="40"/>
        <v>2694</v>
      </c>
      <c r="R900" s="22">
        <f t="shared" si="41"/>
        <v>2696</v>
      </c>
    </row>
    <row r="901" spans="1:18" x14ac:dyDescent="0.2">
      <c r="A901" s="567">
        <v>1792</v>
      </c>
      <c r="B901" s="568" t="s">
        <v>2184</v>
      </c>
      <c r="C901" s="568" t="s">
        <v>2187</v>
      </c>
      <c r="D901" s="567">
        <v>4924</v>
      </c>
      <c r="E901" s="567">
        <v>26</v>
      </c>
      <c r="F901" s="567">
        <v>3</v>
      </c>
      <c r="G901" s="567">
        <v>317</v>
      </c>
      <c r="H901" s="567">
        <v>3140</v>
      </c>
      <c r="O901" s="568" t="s">
        <v>1210</v>
      </c>
      <c r="P901" s="22">
        <f t="shared" si="39"/>
        <v>4</v>
      </c>
      <c r="Q901" s="22">
        <f t="shared" si="40"/>
        <v>2697</v>
      </c>
      <c r="R901" s="22">
        <f t="shared" si="41"/>
        <v>2700</v>
      </c>
    </row>
    <row r="902" spans="1:18" x14ac:dyDescent="0.2">
      <c r="A902" s="567">
        <v>1788</v>
      </c>
      <c r="B902" s="568" t="s">
        <v>2184</v>
      </c>
      <c r="C902" s="568" t="s">
        <v>2184</v>
      </c>
      <c r="D902" s="567">
        <v>4920</v>
      </c>
      <c r="E902" s="567">
        <v>26</v>
      </c>
      <c r="F902" s="567">
        <v>3</v>
      </c>
      <c r="G902" s="567">
        <v>317</v>
      </c>
      <c r="H902" s="567">
        <v>3140</v>
      </c>
      <c r="O902" s="568" t="s">
        <v>2436</v>
      </c>
      <c r="P902" s="22">
        <f t="shared" si="39"/>
        <v>2</v>
      </c>
      <c r="Q902" s="22">
        <f t="shared" si="40"/>
        <v>2701</v>
      </c>
      <c r="R902" s="22">
        <f t="shared" si="41"/>
        <v>2702</v>
      </c>
    </row>
    <row r="903" spans="1:18" x14ac:dyDescent="0.2">
      <c r="A903" s="567">
        <v>1315</v>
      </c>
      <c r="B903" s="568" t="s">
        <v>1309</v>
      </c>
      <c r="C903" s="568" t="s">
        <v>1308</v>
      </c>
      <c r="D903" s="567">
        <v>3562</v>
      </c>
      <c r="E903" s="567">
        <v>17</v>
      </c>
      <c r="F903" s="567">
        <v>3</v>
      </c>
      <c r="G903" s="567">
        <v>215</v>
      </c>
      <c r="H903" s="567">
        <v>2121</v>
      </c>
      <c r="O903" s="568" t="s">
        <v>729</v>
      </c>
      <c r="P903" s="22">
        <f t="shared" si="39"/>
        <v>1</v>
      </c>
      <c r="Q903" s="22">
        <f t="shared" si="40"/>
        <v>2703</v>
      </c>
      <c r="R903" s="22">
        <f t="shared" si="41"/>
        <v>2703</v>
      </c>
    </row>
    <row r="904" spans="1:18" x14ac:dyDescent="0.2">
      <c r="A904" s="567">
        <v>1316</v>
      </c>
      <c r="B904" s="568" t="s">
        <v>1309</v>
      </c>
      <c r="C904" s="568" t="s">
        <v>1145</v>
      </c>
      <c r="D904" s="567">
        <v>3563</v>
      </c>
      <c r="E904" s="567">
        <v>17</v>
      </c>
      <c r="F904" s="567">
        <v>3</v>
      </c>
      <c r="G904" s="567">
        <v>215</v>
      </c>
      <c r="H904" s="567">
        <v>2121</v>
      </c>
      <c r="O904" s="568" t="s">
        <v>3252</v>
      </c>
      <c r="P904" s="22">
        <f t="shared" si="39"/>
        <v>1</v>
      </c>
      <c r="Q904" s="22">
        <f t="shared" si="40"/>
        <v>2704</v>
      </c>
      <c r="R904" s="22">
        <f t="shared" si="41"/>
        <v>2704</v>
      </c>
    </row>
    <row r="905" spans="1:18" x14ac:dyDescent="0.2">
      <c r="A905" s="567">
        <v>1317</v>
      </c>
      <c r="B905" s="568" t="s">
        <v>1309</v>
      </c>
      <c r="C905" s="568" t="s">
        <v>1310</v>
      </c>
      <c r="D905" s="567">
        <v>3564</v>
      </c>
      <c r="E905" s="567">
        <v>17</v>
      </c>
      <c r="F905" s="567">
        <v>3</v>
      </c>
      <c r="G905" s="567">
        <v>215</v>
      </c>
      <c r="H905" s="567">
        <v>2121</v>
      </c>
      <c r="O905" s="568" t="s">
        <v>1805</v>
      </c>
      <c r="P905" s="22">
        <f t="shared" si="39"/>
        <v>1</v>
      </c>
      <c r="Q905" s="22">
        <f t="shared" si="40"/>
        <v>2705</v>
      </c>
      <c r="R905" s="22">
        <f t="shared" si="41"/>
        <v>2705</v>
      </c>
    </row>
    <row r="906" spans="1:18" x14ac:dyDescent="0.2">
      <c r="A906" s="567">
        <v>1318</v>
      </c>
      <c r="B906" s="568" t="s">
        <v>1309</v>
      </c>
      <c r="C906" s="568" t="s">
        <v>1311</v>
      </c>
      <c r="D906" s="567">
        <v>3565</v>
      </c>
      <c r="E906" s="567">
        <v>17</v>
      </c>
      <c r="F906" s="567">
        <v>3</v>
      </c>
      <c r="G906" s="567">
        <v>215</v>
      </c>
      <c r="H906" s="567">
        <v>2121</v>
      </c>
      <c r="O906" s="568" t="s">
        <v>544</v>
      </c>
      <c r="P906" s="22">
        <f t="shared" si="39"/>
        <v>1</v>
      </c>
      <c r="Q906" s="22">
        <f t="shared" si="40"/>
        <v>2706</v>
      </c>
      <c r="R906" s="22">
        <f t="shared" si="41"/>
        <v>2706</v>
      </c>
    </row>
    <row r="907" spans="1:18" x14ac:dyDescent="0.2">
      <c r="A907" s="567">
        <v>1319</v>
      </c>
      <c r="B907" s="568" t="s">
        <v>1309</v>
      </c>
      <c r="C907" s="568" t="s">
        <v>1312</v>
      </c>
      <c r="D907" s="567">
        <v>3566</v>
      </c>
      <c r="E907" s="567">
        <v>17</v>
      </c>
      <c r="F907" s="567">
        <v>3</v>
      </c>
      <c r="G907" s="567">
        <v>215</v>
      </c>
      <c r="H907" s="567">
        <v>2121</v>
      </c>
      <c r="O907" s="568" t="s">
        <v>3102</v>
      </c>
      <c r="P907" s="22">
        <f t="shared" si="39"/>
        <v>6</v>
      </c>
      <c r="Q907" s="22">
        <f t="shared" si="40"/>
        <v>2707</v>
      </c>
      <c r="R907" s="22">
        <f t="shared" si="41"/>
        <v>2712</v>
      </c>
    </row>
    <row r="908" spans="1:18" x14ac:dyDescent="0.2">
      <c r="A908" s="567">
        <v>1314</v>
      </c>
      <c r="B908" s="568" t="s">
        <v>1309</v>
      </c>
      <c r="C908" s="568" t="s">
        <v>1319</v>
      </c>
      <c r="D908" s="567">
        <v>3561</v>
      </c>
      <c r="E908" s="567">
        <v>17</v>
      </c>
      <c r="F908" s="567">
        <v>3</v>
      </c>
      <c r="G908" s="567">
        <v>215</v>
      </c>
      <c r="H908" s="567">
        <v>2121</v>
      </c>
      <c r="O908" s="568" t="s">
        <v>3117</v>
      </c>
      <c r="P908" s="22">
        <f t="shared" si="39"/>
        <v>1</v>
      </c>
      <c r="Q908" s="22">
        <f t="shared" si="40"/>
        <v>2713</v>
      </c>
      <c r="R908" s="22">
        <f t="shared" si="41"/>
        <v>2713</v>
      </c>
    </row>
    <row r="909" spans="1:18" x14ac:dyDescent="0.2">
      <c r="A909" s="567">
        <v>1313</v>
      </c>
      <c r="B909" s="568" t="s">
        <v>1309</v>
      </c>
      <c r="C909" s="568" t="s">
        <v>1309</v>
      </c>
      <c r="D909" s="567">
        <v>3560</v>
      </c>
      <c r="E909" s="567">
        <v>17</v>
      </c>
      <c r="F909" s="567">
        <v>3</v>
      </c>
      <c r="G909" s="567">
        <v>215</v>
      </c>
      <c r="H909" s="567">
        <v>2121</v>
      </c>
      <c r="O909" s="568" t="s">
        <v>1645</v>
      </c>
      <c r="P909" s="22">
        <f t="shared" si="39"/>
        <v>5</v>
      </c>
      <c r="Q909" s="22">
        <f t="shared" si="40"/>
        <v>2714</v>
      </c>
      <c r="R909" s="22">
        <f t="shared" si="41"/>
        <v>2718</v>
      </c>
    </row>
    <row r="910" spans="1:18" x14ac:dyDescent="0.2">
      <c r="A910" s="567">
        <v>1620</v>
      </c>
      <c r="B910" s="568" t="s">
        <v>1224</v>
      </c>
      <c r="C910" s="568" t="s">
        <v>1223</v>
      </c>
      <c r="D910" s="567">
        <v>4463</v>
      </c>
      <c r="E910" s="567">
        <v>27</v>
      </c>
      <c r="F910" s="567">
        <v>2</v>
      </c>
      <c r="G910" s="567">
        <v>237</v>
      </c>
      <c r="H910" s="567">
        <v>2110</v>
      </c>
      <c r="O910" s="568" t="s">
        <v>1684</v>
      </c>
      <c r="P910" s="22">
        <f t="shared" si="39"/>
        <v>1</v>
      </c>
      <c r="Q910" s="22">
        <f t="shared" si="40"/>
        <v>2719</v>
      </c>
      <c r="R910" s="22">
        <f t="shared" si="41"/>
        <v>2719</v>
      </c>
    </row>
    <row r="911" spans="1:18" x14ac:dyDescent="0.2">
      <c r="A911" s="567">
        <v>1619</v>
      </c>
      <c r="B911" s="568" t="s">
        <v>1224</v>
      </c>
      <c r="C911" s="568" t="s">
        <v>1231</v>
      </c>
      <c r="D911" s="567">
        <v>4462</v>
      </c>
      <c r="E911" s="567">
        <v>27</v>
      </c>
      <c r="F911" s="567">
        <v>2</v>
      </c>
      <c r="G911" s="567">
        <v>237</v>
      </c>
      <c r="H911" s="567">
        <v>2110</v>
      </c>
      <c r="O911" s="568" t="s">
        <v>1831</v>
      </c>
      <c r="P911" s="22">
        <f t="shared" ref="P911:P974" si="42">COUNTIF($B$13:$B$3400,O911)</f>
        <v>5</v>
      </c>
      <c r="Q911" s="22">
        <f t="shared" si="40"/>
        <v>2720</v>
      </c>
      <c r="R911" s="22">
        <f t="shared" si="41"/>
        <v>2724</v>
      </c>
    </row>
    <row r="912" spans="1:18" x14ac:dyDescent="0.2">
      <c r="A912" s="567">
        <v>1617</v>
      </c>
      <c r="B912" s="568" t="s">
        <v>1224</v>
      </c>
      <c r="C912" s="568" t="s">
        <v>1235</v>
      </c>
      <c r="D912" s="567">
        <v>4460</v>
      </c>
      <c r="E912" s="567">
        <v>27</v>
      </c>
      <c r="F912" s="567">
        <v>2</v>
      </c>
      <c r="G912" s="567">
        <v>237</v>
      </c>
      <c r="H912" s="567">
        <v>2110</v>
      </c>
      <c r="O912" s="568" t="s">
        <v>647</v>
      </c>
      <c r="P912" s="22">
        <f t="shared" si="42"/>
        <v>3</v>
      </c>
      <c r="Q912" s="22">
        <f t="shared" si="40"/>
        <v>2725</v>
      </c>
      <c r="R912" s="22">
        <f t="shared" si="41"/>
        <v>2727</v>
      </c>
    </row>
    <row r="913" spans="1:18" x14ac:dyDescent="0.2">
      <c r="A913" s="567">
        <v>1618</v>
      </c>
      <c r="B913" s="568" t="s">
        <v>1224</v>
      </c>
      <c r="C913" s="568" t="s">
        <v>1237</v>
      </c>
      <c r="D913" s="567">
        <v>4461</v>
      </c>
      <c r="E913" s="567">
        <v>27</v>
      </c>
      <c r="F913" s="567">
        <v>2</v>
      </c>
      <c r="G913" s="567">
        <v>237</v>
      </c>
      <c r="H913" s="567">
        <v>2110</v>
      </c>
      <c r="O913" s="568" t="s">
        <v>2347</v>
      </c>
      <c r="P913" s="22">
        <f t="shared" si="42"/>
        <v>7</v>
      </c>
      <c r="Q913" s="22">
        <f t="shared" ref="Q913:Q976" si="43">R912+1</f>
        <v>2728</v>
      </c>
      <c r="R913" s="22">
        <f t="shared" ref="R913:R976" si="44">R912+P913</f>
        <v>2734</v>
      </c>
    </row>
    <row r="914" spans="1:18" x14ac:dyDescent="0.2">
      <c r="A914" s="567">
        <v>1082</v>
      </c>
      <c r="B914" s="568" t="s">
        <v>1475</v>
      </c>
      <c r="C914" s="568" t="s">
        <v>1474</v>
      </c>
      <c r="D914" s="567">
        <v>2787</v>
      </c>
      <c r="E914" s="567">
        <v>24</v>
      </c>
      <c r="F914" s="567">
        <v>21</v>
      </c>
      <c r="G914" s="567">
        <v>225</v>
      </c>
      <c r="H914" s="567">
        <v>2140</v>
      </c>
      <c r="O914" s="568" t="s">
        <v>1409</v>
      </c>
      <c r="P914" s="22">
        <f t="shared" si="42"/>
        <v>13</v>
      </c>
      <c r="Q914" s="22">
        <f t="shared" si="43"/>
        <v>2735</v>
      </c>
      <c r="R914" s="22">
        <f t="shared" si="44"/>
        <v>2747</v>
      </c>
    </row>
    <row r="915" spans="1:18" x14ac:dyDescent="0.2">
      <c r="A915" s="567">
        <v>1081</v>
      </c>
      <c r="B915" s="568" t="s">
        <v>1475</v>
      </c>
      <c r="C915" s="568" t="s">
        <v>1476</v>
      </c>
      <c r="D915" s="567">
        <v>2786</v>
      </c>
      <c r="E915" s="567">
        <v>24</v>
      </c>
      <c r="F915" s="567">
        <v>21</v>
      </c>
      <c r="G915" s="567">
        <v>225</v>
      </c>
      <c r="H915" s="567">
        <v>2140</v>
      </c>
      <c r="O915" s="568" t="s">
        <v>1111</v>
      </c>
      <c r="P915" s="22">
        <f t="shared" si="42"/>
        <v>2</v>
      </c>
      <c r="Q915" s="22">
        <f t="shared" si="43"/>
        <v>2748</v>
      </c>
      <c r="R915" s="22">
        <f t="shared" si="44"/>
        <v>2749</v>
      </c>
    </row>
    <row r="916" spans="1:18" x14ac:dyDescent="0.2">
      <c r="A916" s="567">
        <v>1080</v>
      </c>
      <c r="B916" s="568" t="s">
        <v>1475</v>
      </c>
      <c r="C916" s="568" t="s">
        <v>1475</v>
      </c>
      <c r="D916" s="567">
        <v>2785</v>
      </c>
      <c r="E916" s="567">
        <v>24</v>
      </c>
      <c r="F916" s="567">
        <v>21</v>
      </c>
      <c r="G916" s="567">
        <v>225</v>
      </c>
      <c r="H916" s="567">
        <v>2140</v>
      </c>
      <c r="O916" s="568" t="s">
        <v>3136</v>
      </c>
      <c r="P916" s="22">
        <f t="shared" si="42"/>
        <v>1</v>
      </c>
      <c r="Q916" s="22">
        <f t="shared" si="43"/>
        <v>2750</v>
      </c>
      <c r="R916" s="22">
        <f t="shared" si="44"/>
        <v>2750</v>
      </c>
    </row>
    <row r="917" spans="1:18" x14ac:dyDescent="0.2">
      <c r="A917" s="567">
        <v>1982</v>
      </c>
      <c r="B917" s="568" t="s">
        <v>1965</v>
      </c>
      <c r="C917" s="568" t="s">
        <v>2000</v>
      </c>
      <c r="D917" s="567">
        <v>5630</v>
      </c>
      <c r="E917" s="567">
        <v>37</v>
      </c>
      <c r="F917" s="567">
        <v>6</v>
      </c>
      <c r="G917" s="567">
        <v>315</v>
      </c>
      <c r="H917" s="567">
        <v>3120</v>
      </c>
      <c r="O917" s="568" t="s">
        <v>1879</v>
      </c>
      <c r="P917" s="22">
        <f t="shared" si="42"/>
        <v>1</v>
      </c>
      <c r="Q917" s="22">
        <f t="shared" si="43"/>
        <v>2751</v>
      </c>
      <c r="R917" s="22">
        <f t="shared" si="44"/>
        <v>2751</v>
      </c>
    </row>
    <row r="918" spans="1:18" x14ac:dyDescent="0.2">
      <c r="A918" s="567">
        <v>1984</v>
      </c>
      <c r="B918" s="568" t="s">
        <v>1965</v>
      </c>
      <c r="C918" s="568" t="s">
        <v>2001</v>
      </c>
      <c r="D918" s="567">
        <v>5632</v>
      </c>
      <c r="E918" s="567">
        <v>37</v>
      </c>
      <c r="F918" s="567">
        <v>6</v>
      </c>
      <c r="G918" s="567">
        <v>315</v>
      </c>
      <c r="H918" s="567">
        <v>3120</v>
      </c>
      <c r="O918" s="568" t="s">
        <v>2891</v>
      </c>
      <c r="P918" s="22">
        <f t="shared" si="42"/>
        <v>4</v>
      </c>
      <c r="Q918" s="22">
        <f t="shared" si="43"/>
        <v>2752</v>
      </c>
      <c r="R918" s="22">
        <f t="shared" si="44"/>
        <v>2755</v>
      </c>
    </row>
    <row r="919" spans="1:18" x14ac:dyDescent="0.2">
      <c r="A919" s="567">
        <v>1983</v>
      </c>
      <c r="B919" s="568" t="s">
        <v>1965</v>
      </c>
      <c r="C919" s="568" t="s">
        <v>2008</v>
      </c>
      <c r="D919" s="567">
        <v>5631</v>
      </c>
      <c r="E919" s="567">
        <v>37</v>
      </c>
      <c r="F919" s="567">
        <v>6</v>
      </c>
      <c r="G919" s="567">
        <v>315</v>
      </c>
      <c r="H919" s="567">
        <v>3120</v>
      </c>
      <c r="O919" s="568" t="s">
        <v>494</v>
      </c>
      <c r="P919" s="22">
        <f t="shared" si="42"/>
        <v>1</v>
      </c>
      <c r="Q919" s="22">
        <f t="shared" si="43"/>
        <v>2756</v>
      </c>
      <c r="R919" s="22">
        <f t="shared" si="44"/>
        <v>2756</v>
      </c>
    </row>
    <row r="920" spans="1:18" x14ac:dyDescent="0.2">
      <c r="A920" s="567">
        <v>652</v>
      </c>
      <c r="B920" s="568" t="s">
        <v>186</v>
      </c>
      <c r="C920" s="568" t="s">
        <v>186</v>
      </c>
      <c r="D920" s="567">
        <v>1450</v>
      </c>
      <c r="E920" s="567">
        <v>20</v>
      </c>
      <c r="F920" s="567">
        <v>1</v>
      </c>
      <c r="G920" s="567">
        <v>119</v>
      </c>
      <c r="H920" s="567">
        <v>1110</v>
      </c>
      <c r="O920" s="568" t="s">
        <v>2449</v>
      </c>
      <c r="P920" s="22">
        <f t="shared" si="42"/>
        <v>1</v>
      </c>
      <c r="Q920" s="22">
        <f t="shared" si="43"/>
        <v>2757</v>
      </c>
      <c r="R920" s="22">
        <f t="shared" si="44"/>
        <v>2757</v>
      </c>
    </row>
    <row r="921" spans="1:18" x14ac:dyDescent="0.2">
      <c r="A921" s="567">
        <v>654</v>
      </c>
      <c r="B921" s="568" t="s">
        <v>186</v>
      </c>
      <c r="C921" s="568" t="s">
        <v>242</v>
      </c>
      <c r="D921" s="567">
        <v>1452</v>
      </c>
      <c r="E921" s="567">
        <v>20</v>
      </c>
      <c r="F921" s="567">
        <v>1</v>
      </c>
      <c r="G921" s="567">
        <v>119</v>
      </c>
      <c r="H921" s="567">
        <v>1110</v>
      </c>
      <c r="O921" s="568" t="s">
        <v>1432</v>
      </c>
      <c r="P921" s="22">
        <f t="shared" si="42"/>
        <v>1</v>
      </c>
      <c r="Q921" s="22">
        <f t="shared" si="43"/>
        <v>2758</v>
      </c>
      <c r="R921" s="22">
        <f t="shared" si="44"/>
        <v>2758</v>
      </c>
    </row>
    <row r="922" spans="1:18" x14ac:dyDescent="0.2">
      <c r="A922" s="567">
        <v>653</v>
      </c>
      <c r="B922" s="568" t="s">
        <v>186</v>
      </c>
      <c r="C922" s="568" t="s">
        <v>267</v>
      </c>
      <c r="D922" s="567">
        <v>1451</v>
      </c>
      <c r="E922" s="567">
        <v>20</v>
      </c>
      <c r="F922" s="567">
        <v>1</v>
      </c>
      <c r="G922" s="567">
        <v>119</v>
      </c>
      <c r="H922" s="567">
        <v>1110</v>
      </c>
      <c r="O922" s="568" t="s">
        <v>171</v>
      </c>
      <c r="P922" s="22">
        <f t="shared" si="42"/>
        <v>3</v>
      </c>
      <c r="Q922" s="22">
        <f t="shared" si="43"/>
        <v>2759</v>
      </c>
      <c r="R922" s="22">
        <f t="shared" si="44"/>
        <v>2761</v>
      </c>
    </row>
    <row r="923" spans="1:18" x14ac:dyDescent="0.2">
      <c r="A923" s="567">
        <v>311</v>
      </c>
      <c r="B923" s="568" t="s">
        <v>998</v>
      </c>
      <c r="C923" s="568" t="s">
        <v>997</v>
      </c>
      <c r="D923" s="567">
        <v>521</v>
      </c>
      <c r="E923" s="567">
        <v>102</v>
      </c>
      <c r="F923" s="567">
        <v>19</v>
      </c>
      <c r="G923" s="567">
        <v>127</v>
      </c>
      <c r="H923" s="567">
        <v>1200</v>
      </c>
      <c r="O923" s="568" t="s">
        <v>64</v>
      </c>
      <c r="P923" s="22">
        <f t="shared" si="42"/>
        <v>1</v>
      </c>
      <c r="Q923" s="22">
        <f t="shared" si="43"/>
        <v>2762</v>
      </c>
      <c r="R923" s="22">
        <f t="shared" si="44"/>
        <v>2762</v>
      </c>
    </row>
    <row r="924" spans="1:18" x14ac:dyDescent="0.2">
      <c r="A924" s="567">
        <v>310</v>
      </c>
      <c r="B924" s="568" t="s">
        <v>998</v>
      </c>
      <c r="C924" s="568" t="s">
        <v>1007</v>
      </c>
      <c r="D924" s="567">
        <v>520</v>
      </c>
      <c r="E924" s="567">
        <v>102</v>
      </c>
      <c r="F924" s="567">
        <v>19</v>
      </c>
      <c r="G924" s="567">
        <v>127</v>
      </c>
      <c r="H924" s="567">
        <v>1200</v>
      </c>
      <c r="O924" s="568" t="s">
        <v>2517</v>
      </c>
      <c r="P924" s="22">
        <f t="shared" si="42"/>
        <v>4</v>
      </c>
      <c r="Q924" s="22">
        <f t="shared" si="43"/>
        <v>2763</v>
      </c>
      <c r="R924" s="22">
        <f t="shared" si="44"/>
        <v>2766</v>
      </c>
    </row>
    <row r="925" spans="1:18" x14ac:dyDescent="0.2">
      <c r="A925" s="567">
        <v>312</v>
      </c>
      <c r="B925" s="568" t="s">
        <v>998</v>
      </c>
      <c r="C925" s="568" t="s">
        <v>1008</v>
      </c>
      <c r="D925" s="567">
        <v>522</v>
      </c>
      <c r="E925" s="567">
        <v>102</v>
      </c>
      <c r="F925" s="567">
        <v>19</v>
      </c>
      <c r="G925" s="567">
        <v>127</v>
      </c>
      <c r="H925" s="567">
        <v>1200</v>
      </c>
      <c r="O925" s="568" t="s">
        <v>1744</v>
      </c>
      <c r="P925" s="22">
        <f t="shared" si="42"/>
        <v>6</v>
      </c>
      <c r="Q925" s="22">
        <f t="shared" si="43"/>
        <v>2767</v>
      </c>
      <c r="R925" s="22">
        <f t="shared" si="44"/>
        <v>2772</v>
      </c>
    </row>
    <row r="926" spans="1:18" x14ac:dyDescent="0.2">
      <c r="A926" s="567">
        <v>313</v>
      </c>
      <c r="B926" s="568" t="s">
        <v>998</v>
      </c>
      <c r="C926" s="568" t="s">
        <v>1009</v>
      </c>
      <c r="D926" s="567">
        <v>523</v>
      </c>
      <c r="E926" s="567">
        <v>102</v>
      </c>
      <c r="F926" s="567">
        <v>19</v>
      </c>
      <c r="G926" s="567">
        <v>127</v>
      </c>
      <c r="H926" s="567">
        <v>1200</v>
      </c>
      <c r="O926" s="568" t="s">
        <v>2922</v>
      </c>
      <c r="P926" s="22">
        <f t="shared" si="42"/>
        <v>6</v>
      </c>
      <c r="Q926" s="22">
        <f t="shared" si="43"/>
        <v>2773</v>
      </c>
      <c r="R926" s="22">
        <f t="shared" si="44"/>
        <v>2778</v>
      </c>
    </row>
    <row r="927" spans="1:18" x14ac:dyDescent="0.2">
      <c r="A927" s="567">
        <v>346</v>
      </c>
      <c r="B927" s="568" t="s">
        <v>1088</v>
      </c>
      <c r="C927" s="568" t="s">
        <v>1088</v>
      </c>
      <c r="D927" s="567">
        <v>600</v>
      </c>
      <c r="E927" s="567">
        <v>23</v>
      </c>
      <c r="F927" s="567">
        <v>19</v>
      </c>
      <c r="G927" s="567">
        <v>127</v>
      </c>
      <c r="H927" s="567">
        <v>1200</v>
      </c>
      <c r="O927" s="568" t="s">
        <v>1420</v>
      </c>
      <c r="P927" s="22">
        <f t="shared" si="42"/>
        <v>2</v>
      </c>
      <c r="Q927" s="22">
        <f t="shared" si="43"/>
        <v>2779</v>
      </c>
      <c r="R927" s="22">
        <f t="shared" si="44"/>
        <v>2780</v>
      </c>
    </row>
    <row r="928" spans="1:18" x14ac:dyDescent="0.2">
      <c r="A928" s="567">
        <v>759</v>
      </c>
      <c r="B928" s="568" t="s">
        <v>872</v>
      </c>
      <c r="C928" s="568" t="s">
        <v>871</v>
      </c>
      <c r="D928" s="567">
        <v>1791</v>
      </c>
      <c r="E928" s="567">
        <v>77</v>
      </c>
      <c r="F928" s="567">
        <v>2</v>
      </c>
      <c r="G928" s="567">
        <v>116</v>
      </c>
      <c r="H928" s="567">
        <v>1180</v>
      </c>
      <c r="O928" s="568" t="s">
        <v>1944</v>
      </c>
      <c r="P928" s="22">
        <f t="shared" si="42"/>
        <v>1</v>
      </c>
      <c r="Q928" s="22">
        <f t="shared" si="43"/>
        <v>2781</v>
      </c>
      <c r="R928" s="22">
        <f t="shared" si="44"/>
        <v>2781</v>
      </c>
    </row>
    <row r="929" spans="1:18" x14ac:dyDescent="0.2">
      <c r="A929" s="567">
        <v>762</v>
      </c>
      <c r="B929" s="568" t="s">
        <v>872</v>
      </c>
      <c r="C929" s="568" t="s">
        <v>876</v>
      </c>
      <c r="D929" s="567">
        <v>1794</v>
      </c>
      <c r="E929" s="567">
        <v>77</v>
      </c>
      <c r="F929" s="567">
        <v>2</v>
      </c>
      <c r="G929" s="567">
        <v>116</v>
      </c>
      <c r="H929" s="567">
        <v>1180</v>
      </c>
      <c r="O929" s="568" t="s">
        <v>1956</v>
      </c>
      <c r="P929" s="22">
        <f t="shared" si="42"/>
        <v>1</v>
      </c>
      <c r="Q929" s="22">
        <f t="shared" si="43"/>
        <v>2782</v>
      </c>
      <c r="R929" s="22">
        <f t="shared" si="44"/>
        <v>2782</v>
      </c>
    </row>
    <row r="930" spans="1:18" x14ac:dyDescent="0.2">
      <c r="A930" s="567">
        <v>760</v>
      </c>
      <c r="B930" s="568" t="s">
        <v>872</v>
      </c>
      <c r="C930" s="568" t="s">
        <v>335</v>
      </c>
      <c r="D930" s="567">
        <v>1792</v>
      </c>
      <c r="E930" s="567">
        <v>77</v>
      </c>
      <c r="F930" s="567">
        <v>2</v>
      </c>
      <c r="G930" s="567">
        <v>116</v>
      </c>
      <c r="H930" s="567">
        <v>1180</v>
      </c>
      <c r="O930" s="568" t="s">
        <v>3194</v>
      </c>
      <c r="P930" s="22">
        <f t="shared" si="42"/>
        <v>3</v>
      </c>
      <c r="Q930" s="22">
        <f t="shared" si="43"/>
        <v>2783</v>
      </c>
      <c r="R930" s="22">
        <f t="shared" si="44"/>
        <v>2785</v>
      </c>
    </row>
    <row r="931" spans="1:18" x14ac:dyDescent="0.2">
      <c r="A931" s="567">
        <v>758</v>
      </c>
      <c r="B931" s="568" t="s">
        <v>872</v>
      </c>
      <c r="C931" s="568" t="s">
        <v>877</v>
      </c>
      <c r="D931" s="567">
        <v>1790</v>
      </c>
      <c r="E931" s="567">
        <v>77</v>
      </c>
      <c r="F931" s="567">
        <v>2</v>
      </c>
      <c r="G931" s="567">
        <v>116</v>
      </c>
      <c r="H931" s="567">
        <v>1180</v>
      </c>
      <c r="O931" s="568" t="s">
        <v>2993</v>
      </c>
      <c r="P931" s="22">
        <f t="shared" si="42"/>
        <v>5</v>
      </c>
      <c r="Q931" s="22">
        <f t="shared" si="43"/>
        <v>2786</v>
      </c>
      <c r="R931" s="22">
        <f t="shared" si="44"/>
        <v>2790</v>
      </c>
    </row>
    <row r="932" spans="1:18" x14ac:dyDescent="0.2">
      <c r="A932" s="567">
        <v>761</v>
      </c>
      <c r="B932" s="568" t="s">
        <v>872</v>
      </c>
      <c r="C932" s="568" t="s">
        <v>883</v>
      </c>
      <c r="D932" s="567">
        <v>1793</v>
      </c>
      <c r="E932" s="567">
        <v>77</v>
      </c>
      <c r="F932" s="567">
        <v>2</v>
      </c>
      <c r="G932" s="567">
        <v>116</v>
      </c>
      <c r="H932" s="567">
        <v>1180</v>
      </c>
      <c r="O932" s="568" t="s">
        <v>1986</v>
      </c>
      <c r="P932" s="22">
        <f t="shared" si="42"/>
        <v>3</v>
      </c>
      <c r="Q932" s="22">
        <f t="shared" si="43"/>
        <v>2791</v>
      </c>
      <c r="R932" s="22">
        <f t="shared" si="44"/>
        <v>2793</v>
      </c>
    </row>
    <row r="933" spans="1:18" x14ac:dyDescent="0.2">
      <c r="A933" s="567">
        <v>1799</v>
      </c>
      <c r="B933" s="568" t="s">
        <v>2181</v>
      </c>
      <c r="C933" s="568" t="s">
        <v>2181</v>
      </c>
      <c r="D933" s="567">
        <v>4950</v>
      </c>
      <c r="E933" s="567">
        <v>29</v>
      </c>
      <c r="F933" s="567">
        <v>5</v>
      </c>
      <c r="G933" s="567">
        <v>317</v>
      </c>
      <c r="H933" s="567">
        <v>3140</v>
      </c>
      <c r="O933" s="568" t="s">
        <v>1888</v>
      </c>
      <c r="P933" s="22">
        <f t="shared" si="42"/>
        <v>3</v>
      </c>
      <c r="Q933" s="22">
        <f t="shared" si="43"/>
        <v>2794</v>
      </c>
      <c r="R933" s="22">
        <f t="shared" si="44"/>
        <v>2796</v>
      </c>
    </row>
    <row r="934" spans="1:18" x14ac:dyDescent="0.2">
      <c r="A934" s="567">
        <v>2551</v>
      </c>
      <c r="B934" s="568" t="s">
        <v>2060</v>
      </c>
      <c r="C934" s="568" t="s">
        <v>2060</v>
      </c>
      <c r="D934" s="567">
        <v>7320</v>
      </c>
      <c r="E934" s="567">
        <v>24</v>
      </c>
      <c r="F934" s="567">
        <v>3</v>
      </c>
      <c r="G934" s="567">
        <v>336</v>
      </c>
      <c r="H934" s="567">
        <v>3130</v>
      </c>
      <c r="O934" s="568" t="s">
        <v>165</v>
      </c>
      <c r="P934" s="22">
        <f t="shared" si="42"/>
        <v>2</v>
      </c>
      <c r="Q934" s="22">
        <f t="shared" si="43"/>
        <v>2797</v>
      </c>
      <c r="R934" s="22">
        <f t="shared" si="44"/>
        <v>2798</v>
      </c>
    </row>
    <row r="935" spans="1:18" x14ac:dyDescent="0.2">
      <c r="A935" s="567">
        <v>448</v>
      </c>
      <c r="B935" s="568" t="s">
        <v>608</v>
      </c>
      <c r="C935" s="568" t="s">
        <v>608</v>
      </c>
      <c r="D935" s="567">
        <v>850</v>
      </c>
      <c r="E935" s="567">
        <v>30</v>
      </c>
      <c r="F935" s="567">
        <v>1</v>
      </c>
      <c r="G935" s="567">
        <v>125</v>
      </c>
      <c r="H935" s="567">
        <v>1150</v>
      </c>
      <c r="O935" s="568" t="s">
        <v>2012</v>
      </c>
      <c r="P935" s="22">
        <f t="shared" si="42"/>
        <v>7</v>
      </c>
      <c r="Q935" s="22">
        <f t="shared" si="43"/>
        <v>2799</v>
      </c>
      <c r="R935" s="22">
        <f t="shared" si="44"/>
        <v>2805</v>
      </c>
    </row>
    <row r="936" spans="1:18" x14ac:dyDescent="0.2">
      <c r="A936" s="567">
        <v>3238</v>
      </c>
      <c r="B936" s="568" t="s">
        <v>2841</v>
      </c>
      <c r="C936" s="568" t="s">
        <v>2841</v>
      </c>
      <c r="D936" s="567">
        <v>9390</v>
      </c>
      <c r="E936" s="567">
        <v>32</v>
      </c>
      <c r="F936" s="567">
        <v>11</v>
      </c>
      <c r="G936" s="567">
        <v>436</v>
      </c>
      <c r="H936" s="567">
        <v>4120</v>
      </c>
      <c r="O936" s="568" t="s">
        <v>691</v>
      </c>
      <c r="P936" s="22">
        <f t="shared" si="42"/>
        <v>1</v>
      </c>
      <c r="Q936" s="22">
        <f t="shared" si="43"/>
        <v>2806</v>
      </c>
      <c r="R936" s="22">
        <f t="shared" si="44"/>
        <v>2806</v>
      </c>
    </row>
    <row r="937" spans="1:18" x14ac:dyDescent="0.2">
      <c r="A937" s="567">
        <v>2043</v>
      </c>
      <c r="B937" s="568" t="s">
        <v>2399</v>
      </c>
      <c r="C937" s="568" t="s">
        <v>2398</v>
      </c>
      <c r="D937" s="567">
        <v>5801</v>
      </c>
      <c r="E937" s="567">
        <v>70</v>
      </c>
      <c r="F937" s="567">
        <v>17</v>
      </c>
      <c r="G937" s="567">
        <v>325</v>
      </c>
      <c r="H937" s="567">
        <v>3160</v>
      </c>
      <c r="O937" s="568" t="s">
        <v>2743</v>
      </c>
      <c r="P937" s="22">
        <f t="shared" si="42"/>
        <v>3</v>
      </c>
      <c r="Q937" s="22">
        <f t="shared" si="43"/>
        <v>2807</v>
      </c>
      <c r="R937" s="22">
        <f t="shared" si="44"/>
        <v>2809</v>
      </c>
    </row>
    <row r="938" spans="1:18" x14ac:dyDescent="0.2">
      <c r="A938" s="567">
        <v>2042</v>
      </c>
      <c r="B938" s="568" t="s">
        <v>2399</v>
      </c>
      <c r="C938" s="568" t="s">
        <v>2408</v>
      </c>
      <c r="D938" s="567">
        <v>5800</v>
      </c>
      <c r="E938" s="567">
        <v>70</v>
      </c>
      <c r="F938" s="567">
        <v>17</v>
      </c>
      <c r="G938" s="567">
        <v>325</v>
      </c>
      <c r="H938" s="567">
        <v>3160</v>
      </c>
      <c r="O938" s="568" t="s">
        <v>508</v>
      </c>
      <c r="P938" s="22">
        <f t="shared" si="42"/>
        <v>2</v>
      </c>
      <c r="Q938" s="22">
        <f t="shared" si="43"/>
        <v>2810</v>
      </c>
      <c r="R938" s="22">
        <f t="shared" si="44"/>
        <v>2811</v>
      </c>
    </row>
    <row r="939" spans="1:18" x14ac:dyDescent="0.2">
      <c r="A939" s="567">
        <v>1402</v>
      </c>
      <c r="B939" s="568" t="s">
        <v>1160</v>
      </c>
      <c r="C939" s="568" t="s">
        <v>1159</v>
      </c>
      <c r="D939" s="567">
        <v>3818</v>
      </c>
      <c r="E939" s="567">
        <v>13</v>
      </c>
      <c r="F939" s="567">
        <v>5</v>
      </c>
      <c r="G939" s="567">
        <v>216</v>
      </c>
      <c r="H939" s="567">
        <v>2100</v>
      </c>
      <c r="O939" s="568" t="s">
        <v>792</v>
      </c>
      <c r="P939" s="22">
        <f t="shared" si="42"/>
        <v>3</v>
      </c>
      <c r="Q939" s="22">
        <f t="shared" si="43"/>
        <v>2812</v>
      </c>
      <c r="R939" s="22">
        <f t="shared" si="44"/>
        <v>2814</v>
      </c>
    </row>
    <row r="940" spans="1:18" x14ac:dyDescent="0.2">
      <c r="A940" s="567">
        <v>1401</v>
      </c>
      <c r="B940" s="568" t="s">
        <v>1160</v>
      </c>
      <c r="C940" s="568" t="s">
        <v>1161</v>
      </c>
      <c r="D940" s="567">
        <v>3817</v>
      </c>
      <c r="E940" s="567">
        <v>13</v>
      </c>
      <c r="F940" s="567">
        <v>5</v>
      </c>
      <c r="G940" s="567">
        <v>216</v>
      </c>
      <c r="H940" s="567">
        <v>2100</v>
      </c>
      <c r="O940" s="568" t="s">
        <v>1152</v>
      </c>
      <c r="P940" s="22">
        <f t="shared" si="42"/>
        <v>1</v>
      </c>
      <c r="Q940" s="22">
        <f t="shared" si="43"/>
        <v>2815</v>
      </c>
      <c r="R940" s="22">
        <f t="shared" si="44"/>
        <v>2815</v>
      </c>
    </row>
    <row r="941" spans="1:18" x14ac:dyDescent="0.2">
      <c r="A941" s="567">
        <v>1400</v>
      </c>
      <c r="B941" s="568" t="s">
        <v>1160</v>
      </c>
      <c r="C941" s="568" t="s">
        <v>1162</v>
      </c>
      <c r="D941" s="567">
        <v>3816</v>
      </c>
      <c r="E941" s="567">
        <v>13</v>
      </c>
      <c r="F941" s="567">
        <v>5</v>
      </c>
      <c r="G941" s="567">
        <v>216</v>
      </c>
      <c r="H941" s="567">
        <v>2100</v>
      </c>
      <c r="O941" s="568" t="s">
        <v>2333</v>
      </c>
      <c r="P941" s="22">
        <f t="shared" si="42"/>
        <v>2</v>
      </c>
      <c r="Q941" s="22">
        <f t="shared" si="43"/>
        <v>2816</v>
      </c>
      <c r="R941" s="22">
        <f t="shared" si="44"/>
        <v>2817</v>
      </c>
    </row>
    <row r="942" spans="1:18" x14ac:dyDescent="0.2">
      <c r="A942" s="567">
        <v>1399</v>
      </c>
      <c r="B942" s="568" t="s">
        <v>1160</v>
      </c>
      <c r="C942" s="568" t="s">
        <v>1160</v>
      </c>
      <c r="D942" s="567">
        <v>3815</v>
      </c>
      <c r="E942" s="567">
        <v>13</v>
      </c>
      <c r="F942" s="567">
        <v>5</v>
      </c>
      <c r="G942" s="567">
        <v>216</v>
      </c>
      <c r="H942" s="567">
        <v>2100</v>
      </c>
      <c r="O942" s="568" t="s">
        <v>1632</v>
      </c>
      <c r="P942" s="22">
        <f t="shared" si="42"/>
        <v>2</v>
      </c>
      <c r="Q942" s="22">
        <f t="shared" si="43"/>
        <v>2818</v>
      </c>
      <c r="R942" s="22">
        <f t="shared" si="44"/>
        <v>2819</v>
      </c>
    </row>
    <row r="943" spans="1:18" x14ac:dyDescent="0.2">
      <c r="A943" s="567">
        <v>1830</v>
      </c>
      <c r="B943" s="568" t="s">
        <v>1342</v>
      </c>
      <c r="C943" s="568" t="s">
        <v>1342</v>
      </c>
      <c r="D943" s="567">
        <v>5085</v>
      </c>
      <c r="E943" s="567">
        <v>13</v>
      </c>
      <c r="F943" s="567">
        <v>3</v>
      </c>
      <c r="G943" s="567">
        <v>316</v>
      </c>
      <c r="H943" s="567">
        <v>3110</v>
      </c>
      <c r="O943" s="568" t="s">
        <v>187</v>
      </c>
      <c r="P943" s="22">
        <f t="shared" si="42"/>
        <v>1</v>
      </c>
      <c r="Q943" s="22">
        <f t="shared" si="43"/>
        <v>2820</v>
      </c>
      <c r="R943" s="22">
        <f t="shared" si="44"/>
        <v>2820</v>
      </c>
    </row>
    <row r="944" spans="1:18" x14ac:dyDescent="0.2">
      <c r="A944" s="567">
        <v>194</v>
      </c>
      <c r="B944" s="568" t="s">
        <v>951</v>
      </c>
      <c r="C944" s="568" t="s">
        <v>950</v>
      </c>
      <c r="D944" s="567">
        <v>309</v>
      </c>
      <c r="E944" s="567">
        <v>28</v>
      </c>
      <c r="F944" s="567">
        <v>21</v>
      </c>
      <c r="G944" s="567">
        <v>126</v>
      </c>
      <c r="H944" s="567">
        <v>1190</v>
      </c>
      <c r="O944" s="568" t="s">
        <v>3092</v>
      </c>
      <c r="P944" s="22">
        <f t="shared" si="42"/>
        <v>4</v>
      </c>
      <c r="Q944" s="22">
        <f t="shared" si="43"/>
        <v>2821</v>
      </c>
      <c r="R944" s="22">
        <f t="shared" si="44"/>
        <v>2824</v>
      </c>
    </row>
    <row r="945" spans="1:18" x14ac:dyDescent="0.2">
      <c r="A945" s="567">
        <v>193</v>
      </c>
      <c r="B945" s="568" t="s">
        <v>951</v>
      </c>
      <c r="C945" s="568" t="s">
        <v>961</v>
      </c>
      <c r="D945" s="567">
        <v>308</v>
      </c>
      <c r="E945" s="567">
        <v>28</v>
      </c>
      <c r="F945" s="567">
        <v>21</v>
      </c>
      <c r="G945" s="567">
        <v>126</v>
      </c>
      <c r="H945" s="567">
        <v>1190</v>
      </c>
      <c r="O945" s="568" t="s">
        <v>989</v>
      </c>
      <c r="P945" s="22">
        <f t="shared" si="42"/>
        <v>3</v>
      </c>
      <c r="Q945" s="22">
        <f t="shared" si="43"/>
        <v>2825</v>
      </c>
      <c r="R945" s="22">
        <f t="shared" si="44"/>
        <v>2827</v>
      </c>
    </row>
    <row r="946" spans="1:18" x14ac:dyDescent="0.2">
      <c r="A946" s="567">
        <v>192</v>
      </c>
      <c r="B946" s="568" t="s">
        <v>951</v>
      </c>
      <c r="C946" s="568" t="s">
        <v>962</v>
      </c>
      <c r="D946" s="567">
        <v>307</v>
      </c>
      <c r="E946" s="567">
        <v>28</v>
      </c>
      <c r="F946" s="567">
        <v>21</v>
      </c>
      <c r="G946" s="567">
        <v>126</v>
      </c>
      <c r="H946" s="567">
        <v>1190</v>
      </c>
      <c r="O946" s="568" t="s">
        <v>2300</v>
      </c>
      <c r="P946" s="22">
        <f t="shared" si="42"/>
        <v>10</v>
      </c>
      <c r="Q946" s="22">
        <f t="shared" si="43"/>
        <v>2828</v>
      </c>
      <c r="R946" s="22">
        <f t="shared" si="44"/>
        <v>2837</v>
      </c>
    </row>
    <row r="947" spans="1:18" x14ac:dyDescent="0.2">
      <c r="A947" s="567">
        <v>191</v>
      </c>
      <c r="B947" s="568" t="s">
        <v>951</v>
      </c>
      <c r="C947" s="568" t="s">
        <v>963</v>
      </c>
      <c r="D947" s="567">
        <v>306</v>
      </c>
      <c r="E947" s="567">
        <v>28</v>
      </c>
      <c r="F947" s="567">
        <v>21</v>
      </c>
      <c r="G947" s="567">
        <v>126</v>
      </c>
      <c r="H947" s="567">
        <v>1190</v>
      </c>
      <c r="O947" s="568" t="s">
        <v>79</v>
      </c>
      <c r="P947" s="22">
        <f t="shared" si="42"/>
        <v>1</v>
      </c>
      <c r="Q947" s="22">
        <f t="shared" si="43"/>
        <v>2838</v>
      </c>
      <c r="R947" s="22">
        <f t="shared" si="44"/>
        <v>2838</v>
      </c>
    </row>
    <row r="948" spans="1:18" x14ac:dyDescent="0.2">
      <c r="A948" s="567">
        <v>190</v>
      </c>
      <c r="B948" s="568" t="s">
        <v>951</v>
      </c>
      <c r="C948" s="568" t="s">
        <v>951</v>
      </c>
      <c r="D948" s="567">
        <v>305</v>
      </c>
      <c r="E948" s="567">
        <v>28</v>
      </c>
      <c r="F948" s="567">
        <v>21</v>
      </c>
      <c r="G948" s="567">
        <v>126</v>
      </c>
      <c r="H948" s="567">
        <v>1190</v>
      </c>
      <c r="O948" s="568" t="s">
        <v>2634</v>
      </c>
      <c r="P948" s="22">
        <f t="shared" si="42"/>
        <v>2</v>
      </c>
      <c r="Q948" s="22">
        <f t="shared" si="43"/>
        <v>2839</v>
      </c>
      <c r="R948" s="22">
        <f t="shared" si="44"/>
        <v>2840</v>
      </c>
    </row>
    <row r="949" spans="1:18" x14ac:dyDescent="0.2">
      <c r="A949" s="567">
        <v>1269</v>
      </c>
      <c r="B949" s="568" t="s">
        <v>1251</v>
      </c>
      <c r="C949" s="568" t="s">
        <v>1251</v>
      </c>
      <c r="D949" s="567">
        <v>3435</v>
      </c>
      <c r="E949" s="567">
        <v>21</v>
      </c>
      <c r="F949" s="567">
        <v>3</v>
      </c>
      <c r="G949" s="567">
        <v>215</v>
      </c>
      <c r="H949" s="567">
        <v>2121</v>
      </c>
      <c r="O949" s="568" t="s">
        <v>1600</v>
      </c>
      <c r="P949" s="22">
        <f t="shared" si="42"/>
        <v>5</v>
      </c>
      <c r="Q949" s="22">
        <f t="shared" si="43"/>
        <v>2841</v>
      </c>
      <c r="R949" s="22">
        <f t="shared" si="44"/>
        <v>2845</v>
      </c>
    </row>
    <row r="950" spans="1:18" x14ac:dyDescent="0.2">
      <c r="A950" s="567">
        <v>302</v>
      </c>
      <c r="B950" s="568" t="s">
        <v>991</v>
      </c>
      <c r="C950" s="568" t="s">
        <v>990</v>
      </c>
      <c r="D950" s="567">
        <v>502</v>
      </c>
      <c r="E950" s="567">
        <v>103</v>
      </c>
      <c r="F950" s="567">
        <v>19</v>
      </c>
      <c r="G950" s="567">
        <v>127</v>
      </c>
      <c r="H950" s="567">
        <v>1200</v>
      </c>
      <c r="O950" s="568" t="s">
        <v>2537</v>
      </c>
      <c r="P950" s="22">
        <f t="shared" si="42"/>
        <v>11</v>
      </c>
      <c r="Q950" s="22">
        <f t="shared" si="43"/>
        <v>2846</v>
      </c>
      <c r="R950" s="22">
        <f t="shared" si="44"/>
        <v>2856</v>
      </c>
    </row>
    <row r="951" spans="1:18" x14ac:dyDescent="0.2">
      <c r="A951" s="567">
        <v>301</v>
      </c>
      <c r="B951" s="568" t="s">
        <v>991</v>
      </c>
      <c r="C951" s="568" t="s">
        <v>992</v>
      </c>
      <c r="D951" s="567">
        <v>501</v>
      </c>
      <c r="E951" s="567">
        <v>103</v>
      </c>
      <c r="F951" s="567">
        <v>19</v>
      </c>
      <c r="G951" s="567">
        <v>127</v>
      </c>
      <c r="H951" s="567">
        <v>1200</v>
      </c>
      <c r="O951" s="568" t="s">
        <v>1253</v>
      </c>
      <c r="P951" s="22">
        <f t="shared" si="42"/>
        <v>4</v>
      </c>
      <c r="Q951" s="22">
        <f t="shared" si="43"/>
        <v>2857</v>
      </c>
      <c r="R951" s="22">
        <f t="shared" si="44"/>
        <v>2860</v>
      </c>
    </row>
    <row r="952" spans="1:18" x14ac:dyDescent="0.2">
      <c r="A952" s="567">
        <v>300</v>
      </c>
      <c r="B952" s="568" t="s">
        <v>991</v>
      </c>
      <c r="C952" s="568" t="s">
        <v>993</v>
      </c>
      <c r="D952" s="567">
        <v>500</v>
      </c>
      <c r="E952" s="567">
        <v>103</v>
      </c>
      <c r="F952" s="567">
        <v>19</v>
      </c>
      <c r="G952" s="567">
        <v>127</v>
      </c>
      <c r="H952" s="567">
        <v>1200</v>
      </c>
      <c r="O952" s="568" t="s">
        <v>703</v>
      </c>
      <c r="P952" s="22">
        <f t="shared" si="42"/>
        <v>23</v>
      </c>
      <c r="Q952" s="22">
        <f t="shared" si="43"/>
        <v>2861</v>
      </c>
      <c r="R952" s="22">
        <f t="shared" si="44"/>
        <v>2883</v>
      </c>
    </row>
    <row r="953" spans="1:18" x14ac:dyDescent="0.2">
      <c r="A953" s="567">
        <v>1840</v>
      </c>
      <c r="B953" s="568" t="s">
        <v>1858</v>
      </c>
      <c r="C953" s="568" t="s">
        <v>1858</v>
      </c>
      <c r="D953" s="567">
        <v>5130</v>
      </c>
      <c r="E953" s="567">
        <v>54</v>
      </c>
      <c r="F953" s="567">
        <v>5</v>
      </c>
      <c r="G953" s="567">
        <v>316</v>
      </c>
      <c r="H953" s="567">
        <v>3110</v>
      </c>
      <c r="O953" s="568" t="s">
        <v>2385</v>
      </c>
      <c r="P953" s="22">
        <f t="shared" si="42"/>
        <v>10</v>
      </c>
      <c r="Q953" s="22">
        <f t="shared" si="43"/>
        <v>2884</v>
      </c>
      <c r="R953" s="22">
        <f t="shared" si="44"/>
        <v>2893</v>
      </c>
    </row>
    <row r="954" spans="1:18" x14ac:dyDescent="0.2">
      <c r="A954" s="567">
        <v>1841</v>
      </c>
      <c r="B954" s="568" t="s">
        <v>1858</v>
      </c>
      <c r="C954" s="568" t="s">
        <v>1866</v>
      </c>
      <c r="D954" s="567">
        <v>5131</v>
      </c>
      <c r="E954" s="567">
        <v>54</v>
      </c>
      <c r="F954" s="567">
        <v>5</v>
      </c>
      <c r="G954" s="567">
        <v>316</v>
      </c>
      <c r="H954" s="567">
        <v>3110</v>
      </c>
      <c r="O954" s="568" t="s">
        <v>235</v>
      </c>
      <c r="P954" s="22">
        <f t="shared" si="42"/>
        <v>1</v>
      </c>
      <c r="Q954" s="22">
        <f t="shared" si="43"/>
        <v>2894</v>
      </c>
      <c r="R954" s="22">
        <f t="shared" si="44"/>
        <v>2894</v>
      </c>
    </row>
    <row r="955" spans="1:18" x14ac:dyDescent="0.2">
      <c r="A955" s="567">
        <v>519</v>
      </c>
      <c r="B955" s="568" t="s">
        <v>740</v>
      </c>
      <c r="C955" s="568" t="s">
        <v>739</v>
      </c>
      <c r="D955" s="567">
        <v>1052</v>
      </c>
      <c r="E955" s="567">
        <v>78</v>
      </c>
      <c r="F955" s="567">
        <v>1</v>
      </c>
      <c r="G955" s="567">
        <v>118</v>
      </c>
      <c r="H955" s="567">
        <v>1170</v>
      </c>
      <c r="O955" s="568" t="s">
        <v>1086</v>
      </c>
      <c r="P955" s="22">
        <f t="shared" si="42"/>
        <v>2</v>
      </c>
      <c r="Q955" s="22">
        <f t="shared" si="43"/>
        <v>2895</v>
      </c>
      <c r="R955" s="22">
        <f t="shared" si="44"/>
        <v>2896</v>
      </c>
    </row>
    <row r="956" spans="1:18" x14ac:dyDescent="0.2">
      <c r="A956" s="567">
        <v>518</v>
      </c>
      <c r="B956" s="568" t="s">
        <v>740</v>
      </c>
      <c r="C956" s="568" t="s">
        <v>741</v>
      </c>
      <c r="D956" s="567">
        <v>1051</v>
      </c>
      <c r="E956" s="567">
        <v>78</v>
      </c>
      <c r="F956" s="567">
        <v>1</v>
      </c>
      <c r="G956" s="567">
        <v>118</v>
      </c>
      <c r="H956" s="567">
        <v>1170</v>
      </c>
      <c r="O956" s="568" t="s">
        <v>1962</v>
      </c>
      <c r="P956" s="22">
        <f t="shared" si="42"/>
        <v>2</v>
      </c>
      <c r="Q956" s="22">
        <f t="shared" si="43"/>
        <v>2897</v>
      </c>
      <c r="R956" s="22">
        <f t="shared" si="44"/>
        <v>2898</v>
      </c>
    </row>
    <row r="957" spans="1:18" x14ac:dyDescent="0.2">
      <c r="A957" s="567">
        <v>517</v>
      </c>
      <c r="B957" s="568" t="s">
        <v>740</v>
      </c>
      <c r="C957" s="568" t="s">
        <v>742</v>
      </c>
      <c r="D957" s="567">
        <v>1050</v>
      </c>
      <c r="E957" s="567">
        <v>78</v>
      </c>
      <c r="F957" s="567">
        <v>1</v>
      </c>
      <c r="G957" s="567">
        <v>118</v>
      </c>
      <c r="H957" s="567">
        <v>1170</v>
      </c>
      <c r="O957" s="568" t="s">
        <v>1340</v>
      </c>
      <c r="P957" s="22">
        <f t="shared" si="42"/>
        <v>1</v>
      </c>
      <c r="Q957" s="22">
        <f t="shared" si="43"/>
        <v>2899</v>
      </c>
      <c r="R957" s="22">
        <f t="shared" si="44"/>
        <v>2899</v>
      </c>
    </row>
    <row r="958" spans="1:18" x14ac:dyDescent="0.2">
      <c r="A958" s="567">
        <v>2014</v>
      </c>
      <c r="B958" s="568" t="s">
        <v>1893</v>
      </c>
      <c r="C958" s="568" t="s">
        <v>1892</v>
      </c>
      <c r="D958" s="567">
        <v>5714</v>
      </c>
      <c r="E958" s="567">
        <v>0</v>
      </c>
      <c r="F958" s="567">
        <v>3</v>
      </c>
      <c r="G958" s="567">
        <v>311</v>
      </c>
      <c r="H958" s="567">
        <v>3120</v>
      </c>
      <c r="O958" s="568" t="s">
        <v>468</v>
      </c>
      <c r="P958" s="22">
        <f t="shared" si="42"/>
        <v>1</v>
      </c>
      <c r="Q958" s="22">
        <f t="shared" si="43"/>
        <v>2900</v>
      </c>
      <c r="R958" s="22">
        <f t="shared" si="44"/>
        <v>2900</v>
      </c>
    </row>
    <row r="959" spans="1:18" x14ac:dyDescent="0.2">
      <c r="A959" s="567">
        <v>2016</v>
      </c>
      <c r="B959" s="568" t="s">
        <v>1893</v>
      </c>
      <c r="C959" s="568" t="s">
        <v>1926</v>
      </c>
      <c r="D959" s="567">
        <v>5716</v>
      </c>
      <c r="E959" s="567">
        <v>0</v>
      </c>
      <c r="F959" s="567">
        <v>3</v>
      </c>
      <c r="G959" s="567">
        <v>311</v>
      </c>
      <c r="H959" s="567">
        <v>3120</v>
      </c>
      <c r="O959" s="568" t="s">
        <v>66</v>
      </c>
      <c r="P959" s="22">
        <f t="shared" si="42"/>
        <v>1</v>
      </c>
      <c r="Q959" s="22">
        <f t="shared" si="43"/>
        <v>2901</v>
      </c>
      <c r="R959" s="22">
        <f t="shared" si="44"/>
        <v>2901</v>
      </c>
    </row>
    <row r="960" spans="1:18" x14ac:dyDescent="0.2">
      <c r="A960" s="567">
        <v>2015</v>
      </c>
      <c r="B960" s="568" t="s">
        <v>1893</v>
      </c>
      <c r="C960" s="568" t="s">
        <v>1947</v>
      </c>
      <c r="D960" s="567">
        <v>5715</v>
      </c>
      <c r="E960" s="567">
        <v>0</v>
      </c>
      <c r="F960" s="567">
        <v>3</v>
      </c>
      <c r="G960" s="567">
        <v>311</v>
      </c>
      <c r="H960" s="567">
        <v>3120</v>
      </c>
      <c r="O960" s="568" t="s">
        <v>609</v>
      </c>
      <c r="P960" s="22">
        <f t="shared" si="42"/>
        <v>2</v>
      </c>
      <c r="Q960" s="22">
        <f t="shared" si="43"/>
        <v>2902</v>
      </c>
      <c r="R960" s="22">
        <f t="shared" si="44"/>
        <v>2903</v>
      </c>
    </row>
    <row r="961" spans="1:18" x14ac:dyDescent="0.2">
      <c r="A961" s="567">
        <v>2018</v>
      </c>
      <c r="B961" s="568" t="s">
        <v>1893</v>
      </c>
      <c r="C961" s="568" t="s">
        <v>1954</v>
      </c>
      <c r="D961" s="567">
        <v>5718</v>
      </c>
      <c r="E961" s="567">
        <v>0</v>
      </c>
      <c r="F961" s="567">
        <v>3</v>
      </c>
      <c r="G961" s="567">
        <v>311</v>
      </c>
      <c r="H961" s="567">
        <v>3120</v>
      </c>
      <c r="O961" s="568" t="s">
        <v>795</v>
      </c>
      <c r="P961" s="22">
        <f t="shared" si="42"/>
        <v>1</v>
      </c>
      <c r="Q961" s="22">
        <f t="shared" si="43"/>
        <v>2904</v>
      </c>
      <c r="R961" s="22">
        <f t="shared" si="44"/>
        <v>2904</v>
      </c>
    </row>
    <row r="962" spans="1:18" x14ac:dyDescent="0.2">
      <c r="A962" s="567">
        <v>2017</v>
      </c>
      <c r="B962" s="568" t="s">
        <v>1893</v>
      </c>
      <c r="C962" s="568" t="s">
        <v>1955</v>
      </c>
      <c r="D962" s="567">
        <v>5717</v>
      </c>
      <c r="E962" s="567">
        <v>0</v>
      </c>
      <c r="F962" s="567">
        <v>3</v>
      </c>
      <c r="G962" s="567">
        <v>311</v>
      </c>
      <c r="H962" s="567">
        <v>3120</v>
      </c>
      <c r="O962" s="568" t="s">
        <v>82</v>
      </c>
      <c r="P962" s="22">
        <f t="shared" si="42"/>
        <v>1</v>
      </c>
      <c r="Q962" s="22">
        <f t="shared" si="43"/>
        <v>2905</v>
      </c>
      <c r="R962" s="22">
        <f t="shared" si="44"/>
        <v>2905</v>
      </c>
    </row>
    <row r="963" spans="1:18" x14ac:dyDescent="0.2">
      <c r="A963" s="567">
        <v>2012</v>
      </c>
      <c r="B963" s="568" t="s">
        <v>1893</v>
      </c>
      <c r="C963" s="568" t="s">
        <v>757</v>
      </c>
      <c r="D963" s="567">
        <v>5712</v>
      </c>
      <c r="E963" s="567">
        <v>0</v>
      </c>
      <c r="F963" s="567">
        <v>3</v>
      </c>
      <c r="G963" s="567">
        <v>311</v>
      </c>
      <c r="H963" s="567">
        <v>3120</v>
      </c>
      <c r="O963" s="568" t="s">
        <v>1749</v>
      </c>
      <c r="P963" s="22">
        <f t="shared" si="42"/>
        <v>1</v>
      </c>
      <c r="Q963" s="22">
        <f t="shared" si="43"/>
        <v>2906</v>
      </c>
      <c r="R963" s="22">
        <f t="shared" si="44"/>
        <v>2906</v>
      </c>
    </row>
    <row r="964" spans="1:18" x14ac:dyDescent="0.2">
      <c r="A964" s="567">
        <v>2010</v>
      </c>
      <c r="B964" s="568" t="s">
        <v>1893</v>
      </c>
      <c r="C964" s="568" t="s">
        <v>1976</v>
      </c>
      <c r="D964" s="567">
        <v>5710</v>
      </c>
      <c r="E964" s="567">
        <v>0</v>
      </c>
      <c r="F964" s="567">
        <v>3</v>
      </c>
      <c r="G964" s="567">
        <v>311</v>
      </c>
      <c r="H964" s="567">
        <v>3120</v>
      </c>
      <c r="O964" s="568" t="s">
        <v>269</v>
      </c>
      <c r="P964" s="22">
        <f t="shared" si="42"/>
        <v>7</v>
      </c>
      <c r="Q964" s="22">
        <f t="shared" si="43"/>
        <v>2907</v>
      </c>
      <c r="R964" s="22">
        <f t="shared" si="44"/>
        <v>2913</v>
      </c>
    </row>
    <row r="965" spans="1:18" x14ac:dyDescent="0.2">
      <c r="A965" s="567">
        <v>2011</v>
      </c>
      <c r="B965" s="568" t="s">
        <v>1893</v>
      </c>
      <c r="C965" s="568" t="s">
        <v>1977</v>
      </c>
      <c r="D965" s="567">
        <v>5711</v>
      </c>
      <c r="E965" s="567">
        <v>0</v>
      </c>
      <c r="F965" s="567">
        <v>3</v>
      </c>
      <c r="G965" s="567">
        <v>311</v>
      </c>
      <c r="H965" s="567">
        <v>3120</v>
      </c>
      <c r="O965" s="568" t="s">
        <v>2065</v>
      </c>
      <c r="P965" s="22">
        <f t="shared" si="42"/>
        <v>1</v>
      </c>
      <c r="Q965" s="22">
        <f t="shared" si="43"/>
        <v>2914</v>
      </c>
      <c r="R965" s="22">
        <f t="shared" si="44"/>
        <v>2914</v>
      </c>
    </row>
    <row r="966" spans="1:18" x14ac:dyDescent="0.2">
      <c r="A966" s="567">
        <v>2013</v>
      </c>
      <c r="B966" s="568" t="s">
        <v>1893</v>
      </c>
      <c r="C966" s="568" t="s">
        <v>1737</v>
      </c>
      <c r="D966" s="567">
        <v>5713</v>
      </c>
      <c r="E966" s="567">
        <v>0</v>
      </c>
      <c r="F966" s="567">
        <v>3</v>
      </c>
      <c r="G966" s="567">
        <v>311</v>
      </c>
      <c r="H966" s="567">
        <v>3120</v>
      </c>
      <c r="O966" s="568" t="s">
        <v>2279</v>
      </c>
      <c r="P966" s="22">
        <f t="shared" si="42"/>
        <v>9</v>
      </c>
      <c r="Q966" s="22">
        <f t="shared" si="43"/>
        <v>2915</v>
      </c>
      <c r="R966" s="22">
        <f t="shared" si="44"/>
        <v>2923</v>
      </c>
    </row>
    <row r="967" spans="1:18" x14ac:dyDescent="0.2">
      <c r="A967" s="567">
        <v>1</v>
      </c>
      <c r="B967" s="568" t="s">
        <v>296</v>
      </c>
      <c r="C967" s="568" t="s">
        <v>296</v>
      </c>
      <c r="D967" s="567">
        <v>1</v>
      </c>
      <c r="E967" s="567">
        <v>39</v>
      </c>
      <c r="F967" s="567">
        <v>21</v>
      </c>
      <c r="G967" s="567">
        <v>128</v>
      </c>
      <c r="H967" s="567">
        <v>1121</v>
      </c>
      <c r="O967" s="568" t="s">
        <v>1854</v>
      </c>
      <c r="P967" s="22">
        <f t="shared" si="42"/>
        <v>4</v>
      </c>
      <c r="Q967" s="22">
        <f t="shared" si="43"/>
        <v>2924</v>
      </c>
      <c r="R967" s="22">
        <f t="shared" si="44"/>
        <v>2927</v>
      </c>
    </row>
    <row r="968" spans="1:18" x14ac:dyDescent="0.2">
      <c r="A968" s="567">
        <v>2</v>
      </c>
      <c r="B968" s="568" t="s">
        <v>296</v>
      </c>
      <c r="C968" s="568" t="s">
        <v>297</v>
      </c>
      <c r="D968" s="567">
        <v>2</v>
      </c>
      <c r="E968" s="567">
        <v>39</v>
      </c>
      <c r="F968" s="567">
        <v>21</v>
      </c>
      <c r="G968" s="567">
        <v>128</v>
      </c>
      <c r="H968" s="567">
        <v>1121</v>
      </c>
      <c r="O968" s="568" t="s">
        <v>2364</v>
      </c>
      <c r="P968" s="22">
        <f t="shared" si="42"/>
        <v>1</v>
      </c>
      <c r="Q968" s="22">
        <f t="shared" si="43"/>
        <v>2928</v>
      </c>
      <c r="R968" s="22">
        <f t="shared" si="44"/>
        <v>2928</v>
      </c>
    </row>
    <row r="969" spans="1:18" x14ac:dyDescent="0.2">
      <c r="A969" s="567">
        <v>3</v>
      </c>
      <c r="B969" s="568" t="s">
        <v>296</v>
      </c>
      <c r="C969" s="568" t="s">
        <v>298</v>
      </c>
      <c r="D969" s="567">
        <v>3</v>
      </c>
      <c r="E969" s="567">
        <v>39</v>
      </c>
      <c r="F969" s="567">
        <v>21</v>
      </c>
      <c r="G969" s="567">
        <v>128</v>
      </c>
      <c r="H969" s="567">
        <v>1121</v>
      </c>
      <c r="O969" s="568" t="s">
        <v>3155</v>
      </c>
      <c r="P969" s="22">
        <f t="shared" si="42"/>
        <v>3</v>
      </c>
      <c r="Q969" s="22">
        <f t="shared" si="43"/>
        <v>2929</v>
      </c>
      <c r="R969" s="22">
        <f t="shared" si="44"/>
        <v>2931</v>
      </c>
    </row>
    <row r="970" spans="1:18" x14ac:dyDescent="0.2">
      <c r="A970" s="567">
        <v>5</v>
      </c>
      <c r="B970" s="568" t="s">
        <v>296</v>
      </c>
      <c r="C970" s="568" t="s">
        <v>299</v>
      </c>
      <c r="D970" s="567">
        <v>5</v>
      </c>
      <c r="E970" s="567">
        <v>39</v>
      </c>
      <c r="F970" s="567">
        <v>21</v>
      </c>
      <c r="G970" s="567">
        <v>128</v>
      </c>
      <c r="H970" s="567">
        <v>1121</v>
      </c>
      <c r="O970" s="568" t="s">
        <v>582</v>
      </c>
      <c r="P970" s="22">
        <f t="shared" si="42"/>
        <v>1</v>
      </c>
      <c r="Q970" s="22">
        <f t="shared" si="43"/>
        <v>2932</v>
      </c>
      <c r="R970" s="22">
        <f t="shared" si="44"/>
        <v>2932</v>
      </c>
    </row>
    <row r="971" spans="1:18" x14ac:dyDescent="0.2">
      <c r="A971" s="567">
        <v>4</v>
      </c>
      <c r="B971" s="568" t="s">
        <v>296</v>
      </c>
      <c r="C971" s="568" t="s">
        <v>388</v>
      </c>
      <c r="D971" s="567">
        <v>4</v>
      </c>
      <c r="E971" s="567">
        <v>39</v>
      </c>
      <c r="F971" s="567">
        <v>21</v>
      </c>
      <c r="G971" s="567">
        <v>128</v>
      </c>
      <c r="H971" s="567">
        <v>1121</v>
      </c>
      <c r="O971" s="568" t="s">
        <v>1610</v>
      </c>
      <c r="P971" s="22">
        <f t="shared" si="42"/>
        <v>3</v>
      </c>
      <c r="Q971" s="22">
        <f t="shared" si="43"/>
        <v>2933</v>
      </c>
      <c r="R971" s="22">
        <f t="shared" si="44"/>
        <v>2935</v>
      </c>
    </row>
    <row r="972" spans="1:18" x14ac:dyDescent="0.2">
      <c r="A972" s="567">
        <v>1592</v>
      </c>
      <c r="B972" s="568" t="s">
        <v>1215</v>
      </c>
      <c r="C972" s="568" t="s">
        <v>1214</v>
      </c>
      <c r="D972" s="567">
        <v>4365</v>
      </c>
      <c r="E972" s="567">
        <v>28</v>
      </c>
      <c r="F972" s="567">
        <v>7</v>
      </c>
      <c r="G972" s="567">
        <v>237</v>
      </c>
      <c r="H972" s="567">
        <v>2110</v>
      </c>
      <c r="O972" s="568" t="s">
        <v>1870</v>
      </c>
      <c r="P972" s="22">
        <f t="shared" si="42"/>
        <v>6</v>
      </c>
      <c r="Q972" s="22">
        <f t="shared" si="43"/>
        <v>2936</v>
      </c>
      <c r="R972" s="22">
        <f t="shared" si="44"/>
        <v>2941</v>
      </c>
    </row>
    <row r="973" spans="1:18" x14ac:dyDescent="0.2">
      <c r="A973" s="567">
        <v>1591</v>
      </c>
      <c r="B973" s="568" t="s">
        <v>1215</v>
      </c>
      <c r="C973" s="568" t="s">
        <v>1216</v>
      </c>
      <c r="D973" s="567">
        <v>4364</v>
      </c>
      <c r="E973" s="567">
        <v>28</v>
      </c>
      <c r="F973" s="567">
        <v>7</v>
      </c>
      <c r="G973" s="567">
        <v>237</v>
      </c>
      <c r="H973" s="567">
        <v>2110</v>
      </c>
      <c r="O973" s="568" t="s">
        <v>2583</v>
      </c>
      <c r="P973" s="22">
        <f t="shared" si="42"/>
        <v>1</v>
      </c>
      <c r="Q973" s="22">
        <f t="shared" si="43"/>
        <v>2942</v>
      </c>
      <c r="R973" s="22">
        <f t="shared" si="44"/>
        <v>2942</v>
      </c>
    </row>
    <row r="974" spans="1:18" x14ac:dyDescent="0.2">
      <c r="A974" s="567">
        <v>1590</v>
      </c>
      <c r="B974" s="568" t="s">
        <v>1215</v>
      </c>
      <c r="C974" s="568" t="s">
        <v>1217</v>
      </c>
      <c r="D974" s="567">
        <v>4363</v>
      </c>
      <c r="E974" s="567">
        <v>28</v>
      </c>
      <c r="F974" s="567">
        <v>7</v>
      </c>
      <c r="G974" s="567">
        <v>237</v>
      </c>
      <c r="H974" s="567">
        <v>2110</v>
      </c>
      <c r="O974" s="568" t="s">
        <v>2081</v>
      </c>
      <c r="P974" s="22">
        <f t="shared" si="42"/>
        <v>7</v>
      </c>
      <c r="Q974" s="22">
        <f t="shared" si="43"/>
        <v>2943</v>
      </c>
      <c r="R974" s="22">
        <f t="shared" si="44"/>
        <v>2949</v>
      </c>
    </row>
    <row r="975" spans="1:18" x14ac:dyDescent="0.2">
      <c r="A975" s="567">
        <v>1589</v>
      </c>
      <c r="B975" s="568" t="s">
        <v>1215</v>
      </c>
      <c r="C975" s="568" t="s">
        <v>1218</v>
      </c>
      <c r="D975" s="567">
        <v>4362</v>
      </c>
      <c r="E975" s="567">
        <v>28</v>
      </c>
      <c r="F975" s="567">
        <v>7</v>
      </c>
      <c r="G975" s="567">
        <v>237</v>
      </c>
      <c r="H975" s="567">
        <v>2110</v>
      </c>
      <c r="O975" s="568" t="s">
        <v>1758</v>
      </c>
      <c r="P975" s="22">
        <f t="shared" ref="P975:P1038" si="45">COUNTIF($B$13:$B$3400,O975)</f>
        <v>3</v>
      </c>
      <c r="Q975" s="22">
        <f t="shared" si="43"/>
        <v>2950</v>
      </c>
      <c r="R975" s="22">
        <f t="shared" si="44"/>
        <v>2952</v>
      </c>
    </row>
    <row r="976" spans="1:18" x14ac:dyDescent="0.2">
      <c r="A976" s="567">
        <v>1588</v>
      </c>
      <c r="B976" s="568" t="s">
        <v>1215</v>
      </c>
      <c r="C976" s="568" t="s">
        <v>1219</v>
      </c>
      <c r="D976" s="567">
        <v>4361</v>
      </c>
      <c r="E976" s="567">
        <v>28</v>
      </c>
      <c r="F976" s="567">
        <v>7</v>
      </c>
      <c r="G976" s="567">
        <v>237</v>
      </c>
      <c r="H976" s="567">
        <v>2110</v>
      </c>
      <c r="O976" s="568" t="s">
        <v>152</v>
      </c>
      <c r="P976" s="22">
        <f t="shared" si="45"/>
        <v>5</v>
      </c>
      <c r="Q976" s="22">
        <f t="shared" si="43"/>
        <v>2953</v>
      </c>
      <c r="R976" s="22">
        <f t="shared" si="44"/>
        <v>2957</v>
      </c>
    </row>
    <row r="977" spans="1:18" x14ac:dyDescent="0.2">
      <c r="A977" s="567">
        <v>1587</v>
      </c>
      <c r="B977" s="568" t="s">
        <v>1215</v>
      </c>
      <c r="C977" s="568" t="s">
        <v>1215</v>
      </c>
      <c r="D977" s="567">
        <v>4360</v>
      </c>
      <c r="E977" s="567">
        <v>28</v>
      </c>
      <c r="F977" s="567">
        <v>7</v>
      </c>
      <c r="G977" s="567">
        <v>237</v>
      </c>
      <c r="H977" s="567">
        <v>2110</v>
      </c>
      <c r="O977" s="568" t="s">
        <v>2460</v>
      </c>
      <c r="P977" s="22">
        <f t="shared" si="45"/>
        <v>2</v>
      </c>
      <c r="Q977" s="22">
        <f t="shared" ref="Q977:Q1040" si="46">R976+1</f>
        <v>2958</v>
      </c>
      <c r="R977" s="22">
        <f t="shared" ref="R977:R1040" si="47">R976+P977</f>
        <v>2959</v>
      </c>
    </row>
    <row r="978" spans="1:18" x14ac:dyDescent="0.2">
      <c r="A978" s="567">
        <v>485</v>
      </c>
      <c r="B978" s="568" t="s">
        <v>765</v>
      </c>
      <c r="C978" s="568" t="s">
        <v>765</v>
      </c>
      <c r="D978" s="567">
        <v>945</v>
      </c>
      <c r="E978" s="567">
        <v>16</v>
      </c>
      <c r="F978" s="567">
        <v>1</v>
      </c>
      <c r="G978" s="567">
        <v>118</v>
      </c>
      <c r="H978" s="567">
        <v>1170</v>
      </c>
      <c r="O978" s="568" t="s">
        <v>2967</v>
      </c>
      <c r="P978" s="22">
        <f t="shared" si="45"/>
        <v>11</v>
      </c>
      <c r="Q978" s="22">
        <f t="shared" si="46"/>
        <v>2960</v>
      </c>
      <c r="R978" s="22">
        <f t="shared" si="47"/>
        <v>2970</v>
      </c>
    </row>
    <row r="979" spans="1:18" x14ac:dyDescent="0.2">
      <c r="A979" s="567">
        <v>785</v>
      </c>
      <c r="B979" s="568" t="s">
        <v>808</v>
      </c>
      <c r="C979" s="568" t="s">
        <v>808</v>
      </c>
      <c r="D979" s="567">
        <v>1885</v>
      </c>
      <c r="E979" s="567">
        <v>20</v>
      </c>
      <c r="F979" s="567">
        <v>18</v>
      </c>
      <c r="G979" s="567">
        <v>116</v>
      </c>
      <c r="H979" s="567">
        <v>1180</v>
      </c>
      <c r="O979" s="568" t="s">
        <v>2073</v>
      </c>
      <c r="P979" s="22">
        <f t="shared" si="45"/>
        <v>1</v>
      </c>
      <c r="Q979" s="22">
        <f t="shared" si="46"/>
        <v>2971</v>
      </c>
      <c r="R979" s="22">
        <f t="shared" si="47"/>
        <v>2971</v>
      </c>
    </row>
    <row r="980" spans="1:18" x14ac:dyDescent="0.2">
      <c r="A980" s="567">
        <v>786</v>
      </c>
      <c r="B980" s="568" t="s">
        <v>808</v>
      </c>
      <c r="C980" s="568" t="s">
        <v>839</v>
      </c>
      <c r="D980" s="567">
        <v>1886</v>
      </c>
      <c r="E980" s="567">
        <v>20</v>
      </c>
      <c r="F980" s="567">
        <v>18</v>
      </c>
      <c r="G980" s="567">
        <v>116</v>
      </c>
      <c r="H980" s="567">
        <v>1180</v>
      </c>
      <c r="O980" s="568" t="s">
        <v>1783</v>
      </c>
      <c r="P980" s="22">
        <f t="shared" si="45"/>
        <v>1</v>
      </c>
      <c r="Q980" s="22">
        <f t="shared" si="46"/>
        <v>2972</v>
      </c>
      <c r="R980" s="22">
        <f t="shared" si="47"/>
        <v>2972</v>
      </c>
    </row>
    <row r="981" spans="1:18" x14ac:dyDescent="0.2">
      <c r="A981" s="567">
        <v>787</v>
      </c>
      <c r="B981" s="568" t="s">
        <v>808</v>
      </c>
      <c r="C981" s="568" t="s">
        <v>841</v>
      </c>
      <c r="D981" s="567">
        <v>1887</v>
      </c>
      <c r="E981" s="567">
        <v>20</v>
      </c>
      <c r="F981" s="567">
        <v>18</v>
      </c>
      <c r="G981" s="567">
        <v>116</v>
      </c>
      <c r="H981" s="567">
        <v>1180</v>
      </c>
      <c r="O981" s="568" t="s">
        <v>2432</v>
      </c>
      <c r="P981" s="22">
        <f t="shared" si="45"/>
        <v>4</v>
      </c>
      <c r="Q981" s="22">
        <f t="shared" si="46"/>
        <v>2973</v>
      </c>
      <c r="R981" s="22">
        <f t="shared" si="47"/>
        <v>2976</v>
      </c>
    </row>
    <row r="982" spans="1:18" x14ac:dyDescent="0.2">
      <c r="A982" s="567">
        <v>3337</v>
      </c>
      <c r="B982" s="568" t="s">
        <v>503</v>
      </c>
      <c r="C982" s="568" t="s">
        <v>503</v>
      </c>
      <c r="D982" s="567">
        <v>9750</v>
      </c>
      <c r="E982" s="567">
        <v>15</v>
      </c>
      <c r="F982" s="567">
        <v>4</v>
      </c>
      <c r="G982" s="567">
        <v>435</v>
      </c>
      <c r="H982" s="567">
        <v>4160</v>
      </c>
      <c r="O982" s="568" t="s">
        <v>2350</v>
      </c>
      <c r="P982" s="22">
        <f t="shared" si="45"/>
        <v>8</v>
      </c>
      <c r="Q982" s="22">
        <f t="shared" si="46"/>
        <v>2977</v>
      </c>
      <c r="R982" s="22">
        <f t="shared" si="47"/>
        <v>2984</v>
      </c>
    </row>
    <row r="983" spans="1:18" x14ac:dyDescent="0.2">
      <c r="A983" s="567">
        <v>3339</v>
      </c>
      <c r="B983" s="568" t="s">
        <v>503</v>
      </c>
      <c r="C983" s="568" t="s">
        <v>3122</v>
      </c>
      <c r="D983" s="567">
        <v>9752</v>
      </c>
      <c r="E983" s="567">
        <v>15</v>
      </c>
      <c r="F983" s="567">
        <v>4</v>
      </c>
      <c r="G983" s="567">
        <v>435</v>
      </c>
      <c r="H983" s="567">
        <v>4160</v>
      </c>
      <c r="O983" s="568" t="s">
        <v>1293</v>
      </c>
      <c r="P983" s="22">
        <f t="shared" si="45"/>
        <v>4</v>
      </c>
      <c r="Q983" s="22">
        <f t="shared" si="46"/>
        <v>2985</v>
      </c>
      <c r="R983" s="22">
        <f t="shared" si="47"/>
        <v>2988</v>
      </c>
    </row>
    <row r="984" spans="1:18" x14ac:dyDescent="0.2">
      <c r="A984" s="567">
        <v>3338</v>
      </c>
      <c r="B984" s="568" t="s">
        <v>503</v>
      </c>
      <c r="C984" s="568" t="s">
        <v>1186</v>
      </c>
      <c r="D984" s="567">
        <v>9751</v>
      </c>
      <c r="E984" s="567">
        <v>15</v>
      </c>
      <c r="F984" s="567">
        <v>4</v>
      </c>
      <c r="G984" s="567">
        <v>435</v>
      </c>
      <c r="H984" s="567">
        <v>4160</v>
      </c>
      <c r="O984" s="568" t="s">
        <v>414</v>
      </c>
      <c r="P984" s="22">
        <f t="shared" si="45"/>
        <v>4</v>
      </c>
      <c r="Q984" s="22">
        <f t="shared" si="46"/>
        <v>2989</v>
      </c>
      <c r="R984" s="22">
        <f t="shared" si="47"/>
        <v>2992</v>
      </c>
    </row>
    <row r="985" spans="1:18" x14ac:dyDescent="0.2">
      <c r="A985" s="567">
        <v>2201</v>
      </c>
      <c r="B985" s="568" t="s">
        <v>2415</v>
      </c>
      <c r="C985" s="568" t="s">
        <v>2414</v>
      </c>
      <c r="D985" s="567">
        <v>6360</v>
      </c>
      <c r="E985" s="567">
        <v>16</v>
      </c>
      <c r="F985" s="567">
        <v>14</v>
      </c>
      <c r="G985" s="567">
        <v>327</v>
      </c>
      <c r="H985" s="567">
        <v>3170</v>
      </c>
      <c r="O985" s="568" t="s">
        <v>3173</v>
      </c>
      <c r="P985" s="22">
        <f t="shared" si="45"/>
        <v>3</v>
      </c>
      <c r="Q985" s="22">
        <f t="shared" si="46"/>
        <v>2993</v>
      </c>
      <c r="R985" s="22">
        <f t="shared" si="47"/>
        <v>2995</v>
      </c>
    </row>
    <row r="986" spans="1:18" x14ac:dyDescent="0.2">
      <c r="A986" s="567">
        <v>1969</v>
      </c>
      <c r="B986" s="568" t="s">
        <v>1981</v>
      </c>
      <c r="C986" s="568" t="s">
        <v>1981</v>
      </c>
      <c r="D986" s="567">
        <v>5590</v>
      </c>
      <c r="E986" s="567">
        <v>39</v>
      </c>
      <c r="F986" s="567">
        <v>6</v>
      </c>
      <c r="G986" s="567">
        <v>315</v>
      </c>
      <c r="H986" s="567">
        <v>3120</v>
      </c>
      <c r="O986" s="568" t="s">
        <v>2534</v>
      </c>
      <c r="P986" s="22">
        <f t="shared" si="45"/>
        <v>8</v>
      </c>
      <c r="Q986" s="22">
        <f t="shared" si="46"/>
        <v>2996</v>
      </c>
      <c r="R986" s="22">
        <f t="shared" si="47"/>
        <v>3003</v>
      </c>
    </row>
    <row r="987" spans="1:18" x14ac:dyDescent="0.2">
      <c r="A987" s="567">
        <v>1970</v>
      </c>
      <c r="B987" s="568" t="s">
        <v>1981</v>
      </c>
      <c r="C987" s="568" t="s">
        <v>1678</v>
      </c>
      <c r="D987" s="567">
        <v>5591</v>
      </c>
      <c r="E987" s="567">
        <v>39</v>
      </c>
      <c r="F987" s="567">
        <v>6</v>
      </c>
      <c r="G987" s="567">
        <v>315</v>
      </c>
      <c r="H987" s="567">
        <v>3120</v>
      </c>
      <c r="O987" s="568" t="s">
        <v>1121</v>
      </c>
      <c r="P987" s="22">
        <f t="shared" si="45"/>
        <v>10</v>
      </c>
      <c r="Q987" s="22">
        <f t="shared" si="46"/>
        <v>3004</v>
      </c>
      <c r="R987" s="22">
        <f t="shared" si="47"/>
        <v>3013</v>
      </c>
    </row>
    <row r="988" spans="1:18" x14ac:dyDescent="0.2">
      <c r="A988" s="567">
        <v>3373</v>
      </c>
      <c r="B988" s="568" t="s">
        <v>3150</v>
      </c>
      <c r="C988" s="568" t="s">
        <v>3150</v>
      </c>
      <c r="D988" s="567">
        <v>9890</v>
      </c>
      <c r="E988" s="567">
        <v>16</v>
      </c>
      <c r="F988" s="567">
        <v>9</v>
      </c>
      <c r="G988" s="567">
        <v>435</v>
      </c>
      <c r="H988" s="567">
        <v>4160</v>
      </c>
      <c r="O988" s="568" t="s">
        <v>1929</v>
      </c>
      <c r="P988" s="22">
        <f t="shared" si="45"/>
        <v>1</v>
      </c>
      <c r="Q988" s="22">
        <f t="shared" si="46"/>
        <v>3014</v>
      </c>
      <c r="R988" s="22">
        <f t="shared" si="47"/>
        <v>3014</v>
      </c>
    </row>
    <row r="989" spans="1:18" x14ac:dyDescent="0.2">
      <c r="A989" s="567">
        <v>3374</v>
      </c>
      <c r="B989" s="568" t="s">
        <v>3150</v>
      </c>
      <c r="C989" s="568" t="s">
        <v>3151</v>
      </c>
      <c r="D989" s="567">
        <v>9891</v>
      </c>
      <c r="E989" s="567">
        <v>16</v>
      </c>
      <c r="F989" s="567">
        <v>9</v>
      </c>
      <c r="G989" s="567">
        <v>435</v>
      </c>
      <c r="H989" s="567">
        <v>4160</v>
      </c>
      <c r="O989" s="568" t="s">
        <v>2776</v>
      </c>
      <c r="P989" s="22">
        <f t="shared" si="45"/>
        <v>2</v>
      </c>
      <c r="Q989" s="22">
        <f t="shared" si="46"/>
        <v>3015</v>
      </c>
      <c r="R989" s="22">
        <f t="shared" si="47"/>
        <v>3016</v>
      </c>
    </row>
    <row r="990" spans="1:18" x14ac:dyDescent="0.2">
      <c r="A990" s="567">
        <v>3375</v>
      </c>
      <c r="B990" s="568" t="s">
        <v>3150</v>
      </c>
      <c r="C990" s="568" t="s">
        <v>3152</v>
      </c>
      <c r="D990" s="567">
        <v>9892</v>
      </c>
      <c r="E990" s="567">
        <v>16</v>
      </c>
      <c r="F990" s="567">
        <v>9</v>
      </c>
      <c r="G990" s="567">
        <v>435</v>
      </c>
      <c r="H990" s="567">
        <v>4160</v>
      </c>
      <c r="O990" s="568" t="s">
        <v>2723</v>
      </c>
      <c r="P990" s="22">
        <f t="shared" si="45"/>
        <v>5</v>
      </c>
      <c r="Q990" s="22">
        <f t="shared" si="46"/>
        <v>3017</v>
      </c>
      <c r="R990" s="22">
        <f t="shared" si="47"/>
        <v>3021</v>
      </c>
    </row>
    <row r="991" spans="1:18" x14ac:dyDescent="0.2">
      <c r="A991" s="567">
        <v>3376</v>
      </c>
      <c r="B991" s="568" t="s">
        <v>3150</v>
      </c>
      <c r="C991" s="568" t="s">
        <v>3154</v>
      </c>
      <c r="D991" s="567">
        <v>9893</v>
      </c>
      <c r="E991" s="567">
        <v>16</v>
      </c>
      <c r="F991" s="567">
        <v>9</v>
      </c>
      <c r="G991" s="567">
        <v>435</v>
      </c>
      <c r="H991" s="567">
        <v>4160</v>
      </c>
      <c r="O991" s="568" t="s">
        <v>561</v>
      </c>
      <c r="P991" s="22">
        <f t="shared" si="45"/>
        <v>1</v>
      </c>
      <c r="Q991" s="22">
        <f t="shared" si="46"/>
        <v>3022</v>
      </c>
      <c r="R991" s="22">
        <f t="shared" si="47"/>
        <v>3022</v>
      </c>
    </row>
    <row r="992" spans="1:18" x14ac:dyDescent="0.2">
      <c r="A992" s="567">
        <v>3377</v>
      </c>
      <c r="B992" s="568" t="s">
        <v>3150</v>
      </c>
      <c r="C992" s="568" t="s">
        <v>3161</v>
      </c>
      <c r="D992" s="567">
        <v>9894</v>
      </c>
      <c r="E992" s="567">
        <v>16</v>
      </c>
      <c r="F992" s="567">
        <v>9</v>
      </c>
      <c r="G992" s="567">
        <v>435</v>
      </c>
      <c r="H992" s="567">
        <v>4160</v>
      </c>
      <c r="O992" s="568" t="s">
        <v>818</v>
      </c>
      <c r="P992" s="22">
        <f t="shared" si="45"/>
        <v>1</v>
      </c>
      <c r="Q992" s="22">
        <f t="shared" si="46"/>
        <v>3023</v>
      </c>
      <c r="R992" s="22">
        <f t="shared" si="47"/>
        <v>3023</v>
      </c>
    </row>
    <row r="993" spans="1:18" x14ac:dyDescent="0.2">
      <c r="A993" s="567">
        <v>1761</v>
      </c>
      <c r="B993" s="568" t="s">
        <v>2122</v>
      </c>
      <c r="C993" s="568" t="s">
        <v>2122</v>
      </c>
      <c r="D993" s="567">
        <v>4840</v>
      </c>
      <c r="E993" s="567">
        <v>31</v>
      </c>
      <c r="F993" s="567">
        <v>3</v>
      </c>
      <c r="G993" s="567">
        <v>317</v>
      </c>
      <c r="H993" s="567">
        <v>3140</v>
      </c>
      <c r="O993" s="568" t="s">
        <v>600</v>
      </c>
      <c r="P993" s="22">
        <f t="shared" si="45"/>
        <v>2</v>
      </c>
      <c r="Q993" s="22">
        <f t="shared" si="46"/>
        <v>3024</v>
      </c>
      <c r="R993" s="22">
        <f t="shared" si="47"/>
        <v>3025</v>
      </c>
    </row>
    <row r="994" spans="1:18" x14ac:dyDescent="0.2">
      <c r="A994" s="567">
        <v>1762</v>
      </c>
      <c r="B994" s="568" t="s">
        <v>2122</v>
      </c>
      <c r="C994" s="568" t="s">
        <v>2123</v>
      </c>
      <c r="D994" s="567">
        <v>4841</v>
      </c>
      <c r="E994" s="567">
        <v>31</v>
      </c>
      <c r="F994" s="567">
        <v>3</v>
      </c>
      <c r="G994" s="567">
        <v>317</v>
      </c>
      <c r="H994" s="567">
        <v>3140</v>
      </c>
      <c r="O994" s="568" t="s">
        <v>1742</v>
      </c>
      <c r="P994" s="22">
        <f t="shared" si="45"/>
        <v>1</v>
      </c>
      <c r="Q994" s="22">
        <f t="shared" si="46"/>
        <v>3026</v>
      </c>
      <c r="R994" s="22">
        <f t="shared" si="47"/>
        <v>3026</v>
      </c>
    </row>
    <row r="995" spans="1:18" x14ac:dyDescent="0.2">
      <c r="A995" s="567">
        <v>1763</v>
      </c>
      <c r="B995" s="568" t="s">
        <v>2122</v>
      </c>
      <c r="C995" s="568" t="s">
        <v>2124</v>
      </c>
      <c r="D995" s="567">
        <v>4842</v>
      </c>
      <c r="E995" s="567">
        <v>31</v>
      </c>
      <c r="F995" s="567">
        <v>3</v>
      </c>
      <c r="G995" s="567">
        <v>317</v>
      </c>
      <c r="H995" s="567">
        <v>3140</v>
      </c>
      <c r="O995" s="568" t="s">
        <v>3273</v>
      </c>
      <c r="P995" s="22">
        <f t="shared" si="45"/>
        <v>1</v>
      </c>
      <c r="Q995" s="22">
        <f t="shared" si="46"/>
        <v>3027</v>
      </c>
      <c r="R995" s="22">
        <f t="shared" si="47"/>
        <v>3027</v>
      </c>
    </row>
    <row r="996" spans="1:18" x14ac:dyDescent="0.2">
      <c r="A996" s="567">
        <v>1764</v>
      </c>
      <c r="B996" s="568" t="s">
        <v>2122</v>
      </c>
      <c r="C996" s="568" t="s">
        <v>1145</v>
      </c>
      <c r="D996" s="567">
        <v>4843</v>
      </c>
      <c r="E996" s="567">
        <v>31</v>
      </c>
      <c r="F996" s="567">
        <v>3</v>
      </c>
      <c r="G996" s="567">
        <v>317</v>
      </c>
      <c r="H996" s="567">
        <v>3140</v>
      </c>
      <c r="O996" s="568" t="s">
        <v>1022</v>
      </c>
      <c r="P996" s="22">
        <f t="shared" si="45"/>
        <v>3</v>
      </c>
      <c r="Q996" s="22">
        <f t="shared" si="46"/>
        <v>3028</v>
      </c>
      <c r="R996" s="22">
        <f t="shared" si="47"/>
        <v>3030</v>
      </c>
    </row>
    <row r="997" spans="1:18" x14ac:dyDescent="0.2">
      <c r="A997" s="567">
        <v>1765</v>
      </c>
      <c r="B997" s="568" t="s">
        <v>2122</v>
      </c>
      <c r="C997" s="568" t="s">
        <v>2137</v>
      </c>
      <c r="D997" s="567">
        <v>4844</v>
      </c>
      <c r="E997" s="567">
        <v>31</v>
      </c>
      <c r="F997" s="567">
        <v>3</v>
      </c>
      <c r="G997" s="567">
        <v>317</v>
      </c>
      <c r="H997" s="567">
        <v>3140</v>
      </c>
      <c r="O997" s="568" t="s">
        <v>1663</v>
      </c>
      <c r="P997" s="22">
        <f t="shared" si="45"/>
        <v>2</v>
      </c>
      <c r="Q997" s="22">
        <f t="shared" si="46"/>
        <v>3031</v>
      </c>
      <c r="R997" s="22">
        <f t="shared" si="47"/>
        <v>3032</v>
      </c>
    </row>
    <row r="998" spans="1:18" x14ac:dyDescent="0.2">
      <c r="A998" s="567">
        <v>1451</v>
      </c>
      <c r="B998" s="568" t="s">
        <v>1575</v>
      </c>
      <c r="C998" s="568" t="s">
        <v>1575</v>
      </c>
      <c r="D998" s="567">
        <v>3985</v>
      </c>
      <c r="E998" s="567">
        <v>19</v>
      </c>
      <c r="F998" s="567">
        <v>17</v>
      </c>
      <c r="G998" s="567">
        <v>236</v>
      </c>
      <c r="H998" s="567">
        <v>2150</v>
      </c>
      <c r="O998" s="568" t="s">
        <v>83</v>
      </c>
      <c r="P998" s="22">
        <f t="shared" si="45"/>
        <v>7</v>
      </c>
      <c r="Q998" s="22">
        <f t="shared" si="46"/>
        <v>3033</v>
      </c>
      <c r="R998" s="22">
        <f t="shared" si="47"/>
        <v>3039</v>
      </c>
    </row>
    <row r="999" spans="1:18" x14ac:dyDescent="0.2">
      <c r="A999" s="567">
        <v>2180</v>
      </c>
      <c r="B999" s="568" t="s">
        <v>2446</v>
      </c>
      <c r="C999" s="568" t="s">
        <v>2446</v>
      </c>
      <c r="D999" s="567">
        <v>6245</v>
      </c>
      <c r="E999" s="567">
        <v>17</v>
      </c>
      <c r="F999" s="567">
        <v>16</v>
      </c>
      <c r="G999" s="567">
        <v>327</v>
      </c>
      <c r="H999" s="567">
        <v>3170</v>
      </c>
      <c r="O999" s="568" t="s">
        <v>3267</v>
      </c>
      <c r="P999" s="22">
        <f t="shared" si="45"/>
        <v>1</v>
      </c>
      <c r="Q999" s="22">
        <f t="shared" si="46"/>
        <v>3040</v>
      </c>
      <c r="R999" s="22">
        <f t="shared" si="47"/>
        <v>3040</v>
      </c>
    </row>
    <row r="1000" spans="1:18" x14ac:dyDescent="0.2">
      <c r="A1000" s="567">
        <v>2486</v>
      </c>
      <c r="B1000" s="568" t="s">
        <v>2071</v>
      </c>
      <c r="C1000" s="568" t="s">
        <v>2071</v>
      </c>
      <c r="D1000" s="567">
        <v>7135</v>
      </c>
      <c r="E1000" s="567">
        <v>25</v>
      </c>
      <c r="F1000" s="567">
        <v>6</v>
      </c>
      <c r="G1000" s="567">
        <v>336</v>
      </c>
      <c r="H1000" s="567">
        <v>3130</v>
      </c>
      <c r="O1000" s="568" t="s">
        <v>3266</v>
      </c>
      <c r="P1000" s="22">
        <f t="shared" si="45"/>
        <v>1</v>
      </c>
      <c r="Q1000" s="22">
        <f t="shared" si="46"/>
        <v>3041</v>
      </c>
      <c r="R1000" s="22">
        <f t="shared" si="47"/>
        <v>3041</v>
      </c>
    </row>
    <row r="1001" spans="1:18" x14ac:dyDescent="0.2">
      <c r="A1001" s="567">
        <v>3279</v>
      </c>
      <c r="B1001" s="568" t="s">
        <v>2800</v>
      </c>
      <c r="C1001" s="568" t="s">
        <v>2799</v>
      </c>
      <c r="D1001" s="567">
        <v>9531</v>
      </c>
      <c r="E1001" s="567">
        <v>96</v>
      </c>
      <c r="F1001" s="567">
        <v>11</v>
      </c>
      <c r="G1001" s="567">
        <v>436</v>
      </c>
      <c r="H1001" s="567">
        <v>4120</v>
      </c>
      <c r="O1001" s="568" t="s">
        <v>2833</v>
      </c>
      <c r="P1001" s="22">
        <f t="shared" si="45"/>
        <v>1</v>
      </c>
      <c r="Q1001" s="22">
        <f t="shared" si="46"/>
        <v>3042</v>
      </c>
      <c r="R1001" s="22">
        <f t="shared" si="47"/>
        <v>3042</v>
      </c>
    </row>
    <row r="1002" spans="1:18" x14ac:dyDescent="0.2">
      <c r="A1002" s="567">
        <v>3278</v>
      </c>
      <c r="B1002" s="568" t="s">
        <v>2800</v>
      </c>
      <c r="C1002" s="568" t="s">
        <v>2801</v>
      </c>
      <c r="D1002" s="567">
        <v>9530</v>
      </c>
      <c r="E1002" s="567">
        <v>96</v>
      </c>
      <c r="F1002" s="567">
        <v>11</v>
      </c>
      <c r="G1002" s="567">
        <v>436</v>
      </c>
      <c r="H1002" s="567">
        <v>4120</v>
      </c>
      <c r="O1002" s="568" t="s">
        <v>199</v>
      </c>
      <c r="P1002" s="22">
        <f t="shared" si="45"/>
        <v>2</v>
      </c>
      <c r="Q1002" s="22">
        <f t="shared" si="46"/>
        <v>3043</v>
      </c>
      <c r="R1002" s="22">
        <f t="shared" si="47"/>
        <v>3044</v>
      </c>
    </row>
    <row r="1003" spans="1:18" x14ac:dyDescent="0.2">
      <c r="A1003" s="567">
        <v>2129</v>
      </c>
      <c r="B1003" s="568" t="s">
        <v>1794</v>
      </c>
      <c r="C1003" s="568" t="s">
        <v>1793</v>
      </c>
      <c r="D1003" s="567">
        <v>6110</v>
      </c>
      <c r="E1003" s="567">
        <v>17</v>
      </c>
      <c r="F1003" s="567">
        <v>6</v>
      </c>
      <c r="G1003" s="567">
        <v>326</v>
      </c>
      <c r="H1003" s="567">
        <v>3100</v>
      </c>
      <c r="O1003" s="568" t="s">
        <v>2674</v>
      </c>
      <c r="P1003" s="22">
        <f t="shared" si="45"/>
        <v>7</v>
      </c>
      <c r="Q1003" s="22">
        <f t="shared" si="46"/>
        <v>3045</v>
      </c>
      <c r="R1003" s="22">
        <f t="shared" si="47"/>
        <v>3051</v>
      </c>
    </row>
    <row r="1004" spans="1:18" x14ac:dyDescent="0.2">
      <c r="A1004" s="567">
        <v>2130</v>
      </c>
      <c r="B1004" s="568" t="s">
        <v>1794</v>
      </c>
      <c r="C1004" s="568" t="s">
        <v>1795</v>
      </c>
      <c r="D1004" s="567">
        <v>6111</v>
      </c>
      <c r="E1004" s="567">
        <v>17</v>
      </c>
      <c r="F1004" s="567">
        <v>6</v>
      </c>
      <c r="G1004" s="567">
        <v>326</v>
      </c>
      <c r="H1004" s="567">
        <v>3100</v>
      </c>
      <c r="O1004" s="568" t="s">
        <v>2077</v>
      </c>
      <c r="P1004" s="22">
        <f t="shared" si="45"/>
        <v>1</v>
      </c>
      <c r="Q1004" s="22">
        <f t="shared" si="46"/>
        <v>3052</v>
      </c>
      <c r="R1004" s="22">
        <f t="shared" si="47"/>
        <v>3052</v>
      </c>
    </row>
    <row r="1005" spans="1:18" x14ac:dyDescent="0.2">
      <c r="A1005" s="567">
        <v>2131</v>
      </c>
      <c r="B1005" s="568" t="s">
        <v>1794</v>
      </c>
      <c r="C1005" s="568" t="s">
        <v>1796</v>
      </c>
      <c r="D1005" s="567">
        <v>6112</v>
      </c>
      <c r="E1005" s="567">
        <v>17</v>
      </c>
      <c r="F1005" s="567">
        <v>6</v>
      </c>
      <c r="G1005" s="567">
        <v>326</v>
      </c>
      <c r="H1005" s="567">
        <v>3100</v>
      </c>
      <c r="O1005" s="568" t="s">
        <v>724</v>
      </c>
      <c r="P1005" s="22">
        <f t="shared" si="45"/>
        <v>9</v>
      </c>
      <c r="Q1005" s="22">
        <f t="shared" si="46"/>
        <v>3053</v>
      </c>
      <c r="R1005" s="22">
        <f t="shared" si="47"/>
        <v>3061</v>
      </c>
    </row>
    <row r="1006" spans="1:18" x14ac:dyDescent="0.2">
      <c r="A1006" s="567">
        <v>2132</v>
      </c>
      <c r="B1006" s="568" t="s">
        <v>1794</v>
      </c>
      <c r="C1006" s="568" t="s">
        <v>626</v>
      </c>
      <c r="D1006" s="567">
        <v>6113</v>
      </c>
      <c r="E1006" s="567">
        <v>17</v>
      </c>
      <c r="F1006" s="567">
        <v>6</v>
      </c>
      <c r="G1006" s="567">
        <v>326</v>
      </c>
      <c r="H1006" s="567">
        <v>3100</v>
      </c>
      <c r="O1006" s="568" t="s">
        <v>1017</v>
      </c>
      <c r="P1006" s="22">
        <f t="shared" si="45"/>
        <v>2</v>
      </c>
      <c r="Q1006" s="22">
        <f t="shared" si="46"/>
        <v>3062</v>
      </c>
      <c r="R1006" s="22">
        <f t="shared" si="47"/>
        <v>3063</v>
      </c>
    </row>
    <row r="1007" spans="1:18" x14ac:dyDescent="0.2">
      <c r="A1007" s="567">
        <v>2133</v>
      </c>
      <c r="B1007" s="568" t="s">
        <v>1794</v>
      </c>
      <c r="C1007" s="568" t="s">
        <v>1803</v>
      </c>
      <c r="D1007" s="567">
        <v>6114</v>
      </c>
      <c r="E1007" s="567">
        <v>17</v>
      </c>
      <c r="F1007" s="567">
        <v>6</v>
      </c>
      <c r="G1007" s="567">
        <v>326</v>
      </c>
      <c r="H1007" s="567">
        <v>3100</v>
      </c>
      <c r="O1007" s="568" t="s">
        <v>3088</v>
      </c>
      <c r="P1007" s="22">
        <f t="shared" si="45"/>
        <v>3</v>
      </c>
      <c r="Q1007" s="22">
        <f t="shared" si="46"/>
        <v>3064</v>
      </c>
      <c r="R1007" s="22">
        <f t="shared" si="47"/>
        <v>3066</v>
      </c>
    </row>
    <row r="1008" spans="1:18" x14ac:dyDescent="0.2">
      <c r="A1008" s="567">
        <v>1362</v>
      </c>
      <c r="B1008" s="568" t="s">
        <v>1099</v>
      </c>
      <c r="C1008" s="568" t="s">
        <v>1098</v>
      </c>
      <c r="D1008" s="567">
        <v>3715</v>
      </c>
      <c r="E1008" s="567">
        <v>15</v>
      </c>
      <c r="F1008" s="567">
        <v>3</v>
      </c>
      <c r="G1008" s="567">
        <v>216</v>
      </c>
      <c r="H1008" s="567">
        <v>2100</v>
      </c>
      <c r="O1008" s="568" t="s">
        <v>2379</v>
      </c>
      <c r="P1008" s="22">
        <f t="shared" si="45"/>
        <v>1</v>
      </c>
      <c r="Q1008" s="22">
        <f t="shared" si="46"/>
        <v>3067</v>
      </c>
      <c r="R1008" s="22">
        <f t="shared" si="47"/>
        <v>3067</v>
      </c>
    </row>
    <row r="1009" spans="1:18" x14ac:dyDescent="0.2">
      <c r="A1009" s="567">
        <v>1364</v>
      </c>
      <c r="B1009" s="568" t="s">
        <v>1099</v>
      </c>
      <c r="C1009" s="568" t="s">
        <v>234</v>
      </c>
      <c r="D1009" s="567">
        <v>3717</v>
      </c>
      <c r="E1009" s="567">
        <v>15</v>
      </c>
      <c r="F1009" s="567">
        <v>3</v>
      </c>
      <c r="G1009" s="567">
        <v>216</v>
      </c>
      <c r="H1009" s="567">
        <v>2100</v>
      </c>
      <c r="O1009" s="568" t="s">
        <v>1735</v>
      </c>
      <c r="P1009" s="22">
        <f t="shared" si="45"/>
        <v>11</v>
      </c>
      <c r="Q1009" s="22">
        <f t="shared" si="46"/>
        <v>3068</v>
      </c>
      <c r="R1009" s="22">
        <f t="shared" si="47"/>
        <v>3078</v>
      </c>
    </row>
    <row r="1010" spans="1:18" x14ac:dyDescent="0.2">
      <c r="A1010" s="567">
        <v>1357</v>
      </c>
      <c r="B1010" s="568" t="s">
        <v>1099</v>
      </c>
      <c r="C1010" s="568" t="s">
        <v>1099</v>
      </c>
      <c r="D1010" s="567">
        <v>3710</v>
      </c>
      <c r="E1010" s="567">
        <v>15</v>
      </c>
      <c r="F1010" s="567">
        <v>3</v>
      </c>
      <c r="G1010" s="567">
        <v>216</v>
      </c>
      <c r="H1010" s="567">
        <v>2100</v>
      </c>
      <c r="O1010" s="568" t="s">
        <v>2806</v>
      </c>
      <c r="P1010" s="22">
        <f t="shared" si="45"/>
        <v>1</v>
      </c>
      <c r="Q1010" s="22">
        <f t="shared" si="46"/>
        <v>3079</v>
      </c>
      <c r="R1010" s="22">
        <f t="shared" si="47"/>
        <v>3079</v>
      </c>
    </row>
    <row r="1011" spans="1:18" x14ac:dyDescent="0.2">
      <c r="A1011" s="567">
        <v>1358</v>
      </c>
      <c r="B1011" s="568" t="s">
        <v>1099</v>
      </c>
      <c r="C1011" s="568" t="s">
        <v>1143</v>
      </c>
      <c r="D1011" s="567">
        <v>3711</v>
      </c>
      <c r="E1011" s="567">
        <v>15</v>
      </c>
      <c r="F1011" s="567">
        <v>3</v>
      </c>
      <c r="G1011" s="567">
        <v>216</v>
      </c>
      <c r="H1011" s="567">
        <v>2100</v>
      </c>
      <c r="O1011" s="568" t="s">
        <v>1916</v>
      </c>
      <c r="P1011" s="22">
        <f t="shared" si="45"/>
        <v>7</v>
      </c>
      <c r="Q1011" s="22">
        <f t="shared" si="46"/>
        <v>3080</v>
      </c>
      <c r="R1011" s="22">
        <f t="shared" si="47"/>
        <v>3086</v>
      </c>
    </row>
    <row r="1012" spans="1:18" x14ac:dyDescent="0.2">
      <c r="A1012" s="567">
        <v>1359</v>
      </c>
      <c r="B1012" s="568" t="s">
        <v>1099</v>
      </c>
      <c r="C1012" s="568" t="s">
        <v>1144</v>
      </c>
      <c r="D1012" s="567">
        <v>3712</v>
      </c>
      <c r="E1012" s="567">
        <v>15</v>
      </c>
      <c r="F1012" s="567">
        <v>3</v>
      </c>
      <c r="G1012" s="567">
        <v>216</v>
      </c>
      <c r="H1012" s="567">
        <v>2100</v>
      </c>
      <c r="O1012" s="568" t="s">
        <v>1797</v>
      </c>
      <c r="P1012" s="22">
        <f t="shared" si="45"/>
        <v>4</v>
      </c>
      <c r="Q1012" s="22">
        <f t="shared" si="46"/>
        <v>3087</v>
      </c>
      <c r="R1012" s="22">
        <f t="shared" si="47"/>
        <v>3090</v>
      </c>
    </row>
    <row r="1013" spans="1:18" x14ac:dyDescent="0.2">
      <c r="A1013" s="567">
        <v>1360</v>
      </c>
      <c r="B1013" s="568" t="s">
        <v>1099</v>
      </c>
      <c r="C1013" s="568" t="s">
        <v>531</v>
      </c>
      <c r="D1013" s="567">
        <v>3713</v>
      </c>
      <c r="E1013" s="567">
        <v>15</v>
      </c>
      <c r="F1013" s="567">
        <v>3</v>
      </c>
      <c r="G1013" s="567">
        <v>216</v>
      </c>
      <c r="H1013" s="567">
        <v>2100</v>
      </c>
      <c r="O1013" s="568" t="s">
        <v>2393</v>
      </c>
      <c r="P1013" s="22">
        <f t="shared" si="45"/>
        <v>2</v>
      </c>
      <c r="Q1013" s="22">
        <f t="shared" si="46"/>
        <v>3091</v>
      </c>
      <c r="R1013" s="22">
        <f t="shared" si="47"/>
        <v>3092</v>
      </c>
    </row>
    <row r="1014" spans="1:18" x14ac:dyDescent="0.2">
      <c r="A1014" s="567">
        <v>1361</v>
      </c>
      <c r="B1014" s="568" t="s">
        <v>1099</v>
      </c>
      <c r="C1014" s="568" t="s">
        <v>1145</v>
      </c>
      <c r="D1014" s="567">
        <v>3714</v>
      </c>
      <c r="E1014" s="567">
        <v>15</v>
      </c>
      <c r="F1014" s="567">
        <v>3</v>
      </c>
      <c r="G1014" s="567">
        <v>216</v>
      </c>
      <c r="H1014" s="567">
        <v>2100</v>
      </c>
      <c r="O1014" s="568" t="s">
        <v>2345</v>
      </c>
      <c r="P1014" s="22">
        <f t="shared" si="45"/>
        <v>1</v>
      </c>
      <c r="Q1014" s="22">
        <f t="shared" si="46"/>
        <v>3093</v>
      </c>
      <c r="R1014" s="22">
        <f t="shared" si="47"/>
        <v>3093</v>
      </c>
    </row>
    <row r="1015" spans="1:18" x14ac:dyDescent="0.2">
      <c r="A1015" s="567">
        <v>1363</v>
      </c>
      <c r="B1015" s="568" t="s">
        <v>1099</v>
      </c>
      <c r="C1015" s="568" t="s">
        <v>1146</v>
      </c>
      <c r="D1015" s="567">
        <v>3716</v>
      </c>
      <c r="E1015" s="567">
        <v>15</v>
      </c>
      <c r="F1015" s="567">
        <v>3</v>
      </c>
      <c r="G1015" s="567">
        <v>216</v>
      </c>
      <c r="H1015" s="567">
        <v>2100</v>
      </c>
      <c r="O1015" s="568" t="s">
        <v>1825</v>
      </c>
      <c r="P1015" s="22">
        <f t="shared" si="45"/>
        <v>1</v>
      </c>
      <c r="Q1015" s="22">
        <f t="shared" si="46"/>
        <v>3094</v>
      </c>
      <c r="R1015" s="22">
        <f t="shared" si="47"/>
        <v>3094</v>
      </c>
    </row>
    <row r="1016" spans="1:18" x14ac:dyDescent="0.2">
      <c r="A1016" s="567">
        <v>1171</v>
      </c>
      <c r="B1016" s="568" t="s">
        <v>1407</v>
      </c>
      <c r="C1016" s="568" t="s">
        <v>1407</v>
      </c>
      <c r="D1016" s="567">
        <v>3070</v>
      </c>
      <c r="E1016" s="567">
        <v>22</v>
      </c>
      <c r="F1016" s="567">
        <v>2</v>
      </c>
      <c r="G1016" s="567">
        <v>226</v>
      </c>
      <c r="H1016" s="567">
        <v>2130</v>
      </c>
      <c r="O1016" s="568" t="s">
        <v>1287</v>
      </c>
      <c r="P1016" s="22">
        <f t="shared" si="45"/>
        <v>3</v>
      </c>
      <c r="Q1016" s="22">
        <f t="shared" si="46"/>
        <v>3095</v>
      </c>
      <c r="R1016" s="22">
        <f t="shared" si="47"/>
        <v>3097</v>
      </c>
    </row>
    <row r="1017" spans="1:18" x14ac:dyDescent="0.2">
      <c r="A1017" s="567">
        <v>2322</v>
      </c>
      <c r="B1017" s="568" t="s">
        <v>2326</v>
      </c>
      <c r="C1017" s="568" t="s">
        <v>2326</v>
      </c>
      <c r="D1017" s="567">
        <v>6690</v>
      </c>
      <c r="E1017" s="567">
        <v>25</v>
      </c>
      <c r="F1017" s="567">
        <v>4</v>
      </c>
      <c r="G1017" s="567">
        <v>335</v>
      </c>
      <c r="H1017" s="567">
        <v>3151</v>
      </c>
      <c r="O1017" s="568" t="s">
        <v>175</v>
      </c>
      <c r="P1017" s="22">
        <f t="shared" si="45"/>
        <v>6</v>
      </c>
      <c r="Q1017" s="22">
        <f t="shared" si="46"/>
        <v>3098</v>
      </c>
      <c r="R1017" s="22">
        <f t="shared" si="47"/>
        <v>3103</v>
      </c>
    </row>
    <row r="1018" spans="1:18" x14ac:dyDescent="0.2">
      <c r="A1018" s="567">
        <v>2323</v>
      </c>
      <c r="B1018" s="568" t="s">
        <v>2326</v>
      </c>
      <c r="C1018" s="568" t="s">
        <v>2327</v>
      </c>
      <c r="D1018" s="567">
        <v>6691</v>
      </c>
      <c r="E1018" s="567">
        <v>25</v>
      </c>
      <c r="F1018" s="567">
        <v>4</v>
      </c>
      <c r="G1018" s="567">
        <v>335</v>
      </c>
      <c r="H1018" s="567">
        <v>3151</v>
      </c>
      <c r="O1018" s="568" t="s">
        <v>1445</v>
      </c>
      <c r="P1018" s="22">
        <f t="shared" si="45"/>
        <v>2</v>
      </c>
      <c r="Q1018" s="22">
        <f t="shared" si="46"/>
        <v>3104</v>
      </c>
      <c r="R1018" s="22">
        <f t="shared" si="47"/>
        <v>3105</v>
      </c>
    </row>
    <row r="1019" spans="1:18" x14ac:dyDescent="0.2">
      <c r="A1019" s="567">
        <v>2324</v>
      </c>
      <c r="B1019" s="568" t="s">
        <v>2326</v>
      </c>
      <c r="C1019" s="568" t="s">
        <v>2328</v>
      </c>
      <c r="D1019" s="567">
        <v>6692</v>
      </c>
      <c r="E1019" s="567">
        <v>25</v>
      </c>
      <c r="F1019" s="567">
        <v>4</v>
      </c>
      <c r="G1019" s="567">
        <v>335</v>
      </c>
      <c r="H1019" s="567">
        <v>3151</v>
      </c>
      <c r="O1019" s="568" t="s">
        <v>2680</v>
      </c>
      <c r="P1019" s="22">
        <f t="shared" si="45"/>
        <v>1</v>
      </c>
      <c r="Q1019" s="22">
        <f t="shared" si="46"/>
        <v>3106</v>
      </c>
      <c r="R1019" s="22">
        <f t="shared" si="47"/>
        <v>3106</v>
      </c>
    </row>
    <row r="1020" spans="1:18" x14ac:dyDescent="0.2">
      <c r="A1020" s="567">
        <v>2325</v>
      </c>
      <c r="B1020" s="568" t="s">
        <v>2326</v>
      </c>
      <c r="C1020" s="568" t="s">
        <v>2329</v>
      </c>
      <c r="D1020" s="567">
        <v>6693</v>
      </c>
      <c r="E1020" s="567">
        <v>25</v>
      </c>
      <c r="F1020" s="567">
        <v>4</v>
      </c>
      <c r="G1020" s="567">
        <v>335</v>
      </c>
      <c r="H1020" s="567">
        <v>3151</v>
      </c>
      <c r="O1020" s="568" t="s">
        <v>3047</v>
      </c>
      <c r="P1020" s="22">
        <f t="shared" si="45"/>
        <v>10</v>
      </c>
      <c r="Q1020" s="22">
        <f t="shared" si="46"/>
        <v>3107</v>
      </c>
      <c r="R1020" s="22">
        <f t="shared" si="47"/>
        <v>3116</v>
      </c>
    </row>
    <row r="1021" spans="1:18" x14ac:dyDescent="0.2">
      <c r="A1021" s="567">
        <v>344</v>
      </c>
      <c r="B1021" s="568" t="s">
        <v>1084</v>
      </c>
      <c r="C1021" s="568" t="s">
        <v>1083</v>
      </c>
      <c r="D1021" s="567">
        <v>592</v>
      </c>
      <c r="E1021" s="567">
        <v>25</v>
      </c>
      <c r="F1021" s="567">
        <v>19</v>
      </c>
      <c r="G1021" s="567">
        <v>127</v>
      </c>
      <c r="H1021" s="567">
        <v>1200</v>
      </c>
      <c r="O1021" s="568" t="s">
        <v>1190</v>
      </c>
      <c r="P1021" s="22">
        <f t="shared" si="45"/>
        <v>5</v>
      </c>
      <c r="Q1021" s="22">
        <f t="shared" si="46"/>
        <v>3117</v>
      </c>
      <c r="R1021" s="22">
        <f t="shared" si="47"/>
        <v>3121</v>
      </c>
    </row>
    <row r="1022" spans="1:18" x14ac:dyDescent="0.2">
      <c r="A1022" s="567">
        <v>345</v>
      </c>
      <c r="B1022" s="568" t="s">
        <v>1084</v>
      </c>
      <c r="C1022" s="568" t="s">
        <v>1089</v>
      </c>
      <c r="D1022" s="567">
        <v>593</v>
      </c>
      <c r="E1022" s="567">
        <v>25</v>
      </c>
      <c r="F1022" s="567">
        <v>19</v>
      </c>
      <c r="G1022" s="567">
        <v>127</v>
      </c>
      <c r="H1022" s="567">
        <v>1200</v>
      </c>
      <c r="O1022" s="568" t="s">
        <v>1314</v>
      </c>
      <c r="P1022" s="22">
        <f t="shared" si="45"/>
        <v>3</v>
      </c>
      <c r="Q1022" s="22">
        <f t="shared" si="46"/>
        <v>3122</v>
      </c>
      <c r="R1022" s="22">
        <f t="shared" si="47"/>
        <v>3124</v>
      </c>
    </row>
    <row r="1023" spans="1:18" x14ac:dyDescent="0.2">
      <c r="A1023" s="567">
        <v>343</v>
      </c>
      <c r="B1023" s="568" t="s">
        <v>1084</v>
      </c>
      <c r="C1023" s="568" t="s">
        <v>1091</v>
      </c>
      <c r="D1023" s="567">
        <v>591</v>
      </c>
      <c r="E1023" s="567">
        <v>25</v>
      </c>
      <c r="F1023" s="567">
        <v>19</v>
      </c>
      <c r="G1023" s="567">
        <v>127</v>
      </c>
      <c r="H1023" s="567">
        <v>1200</v>
      </c>
      <c r="O1023" s="568" t="s">
        <v>1458</v>
      </c>
      <c r="P1023" s="22">
        <f t="shared" si="45"/>
        <v>6</v>
      </c>
      <c r="Q1023" s="22">
        <f t="shared" si="46"/>
        <v>3125</v>
      </c>
      <c r="R1023" s="22">
        <f t="shared" si="47"/>
        <v>3130</v>
      </c>
    </row>
    <row r="1024" spans="1:18" x14ac:dyDescent="0.2">
      <c r="A1024" s="567">
        <v>342</v>
      </c>
      <c r="B1024" s="568" t="s">
        <v>1084</v>
      </c>
      <c r="C1024" s="568" t="s">
        <v>1084</v>
      </c>
      <c r="D1024" s="567">
        <v>590</v>
      </c>
      <c r="E1024" s="567">
        <v>25</v>
      </c>
      <c r="F1024" s="567">
        <v>19</v>
      </c>
      <c r="G1024" s="567">
        <v>127</v>
      </c>
      <c r="H1024" s="567">
        <v>1200</v>
      </c>
      <c r="O1024" s="568" t="s">
        <v>2831</v>
      </c>
      <c r="P1024" s="22">
        <f t="shared" si="45"/>
        <v>1</v>
      </c>
      <c r="Q1024" s="22">
        <f t="shared" si="46"/>
        <v>3131</v>
      </c>
      <c r="R1024" s="22">
        <f t="shared" si="47"/>
        <v>3131</v>
      </c>
    </row>
    <row r="1025" spans="1:18" x14ac:dyDescent="0.2">
      <c r="A1025" s="567">
        <v>2289</v>
      </c>
      <c r="B1025" s="568" t="s">
        <v>2355</v>
      </c>
      <c r="C1025" s="568" t="s">
        <v>2355</v>
      </c>
      <c r="D1025" s="567">
        <v>6605</v>
      </c>
      <c r="E1025" s="567">
        <v>26</v>
      </c>
      <c r="F1025" s="567">
        <v>4</v>
      </c>
      <c r="G1025" s="567">
        <v>335</v>
      </c>
      <c r="H1025" s="567">
        <v>3151</v>
      </c>
      <c r="O1025" s="568" t="s">
        <v>2950</v>
      </c>
      <c r="P1025" s="22">
        <f t="shared" si="45"/>
        <v>2</v>
      </c>
      <c r="Q1025" s="22">
        <f t="shared" si="46"/>
        <v>3132</v>
      </c>
      <c r="R1025" s="22">
        <f t="shared" si="47"/>
        <v>3133</v>
      </c>
    </row>
    <row r="1026" spans="1:18" x14ac:dyDescent="0.2">
      <c r="A1026" s="567">
        <v>852</v>
      </c>
      <c r="B1026" s="568" t="s">
        <v>426</v>
      </c>
      <c r="C1026" s="568" t="s">
        <v>426</v>
      </c>
      <c r="D1026" s="567">
        <v>2150</v>
      </c>
      <c r="E1026" s="567">
        <v>23</v>
      </c>
      <c r="F1026" s="567">
        <v>18</v>
      </c>
      <c r="G1026" s="567">
        <v>117</v>
      </c>
      <c r="H1026" s="567">
        <v>1130</v>
      </c>
      <c r="O1026" s="568" t="s">
        <v>692</v>
      </c>
      <c r="P1026" s="22">
        <f t="shared" si="45"/>
        <v>1</v>
      </c>
      <c r="Q1026" s="22">
        <f t="shared" si="46"/>
        <v>3134</v>
      </c>
      <c r="R1026" s="22">
        <f t="shared" si="47"/>
        <v>3134</v>
      </c>
    </row>
    <row r="1027" spans="1:18" x14ac:dyDescent="0.2">
      <c r="A1027" s="567">
        <v>3103</v>
      </c>
      <c r="B1027" s="568" t="s">
        <v>3098</v>
      </c>
      <c r="C1027" s="568" t="s">
        <v>3097</v>
      </c>
      <c r="D1027" s="567">
        <v>8974</v>
      </c>
      <c r="E1027" s="567">
        <v>31</v>
      </c>
      <c r="F1027" s="567">
        <v>14</v>
      </c>
      <c r="G1027" s="567">
        <v>437</v>
      </c>
      <c r="H1027" s="567">
        <v>4151</v>
      </c>
      <c r="O1027" s="568" t="s">
        <v>923</v>
      </c>
      <c r="P1027" s="22">
        <f t="shared" si="45"/>
        <v>2</v>
      </c>
      <c r="Q1027" s="22">
        <f t="shared" si="46"/>
        <v>3135</v>
      </c>
      <c r="R1027" s="22">
        <f t="shared" si="47"/>
        <v>3136</v>
      </c>
    </row>
    <row r="1028" spans="1:18" x14ac:dyDescent="0.2">
      <c r="A1028" s="567">
        <v>3102</v>
      </c>
      <c r="B1028" s="568" t="s">
        <v>3098</v>
      </c>
      <c r="C1028" s="568" t="s">
        <v>335</v>
      </c>
      <c r="D1028" s="567">
        <v>8973</v>
      </c>
      <c r="E1028" s="567">
        <v>31</v>
      </c>
      <c r="F1028" s="567">
        <v>14</v>
      </c>
      <c r="G1028" s="567">
        <v>437</v>
      </c>
      <c r="H1028" s="567">
        <v>4151</v>
      </c>
      <c r="O1028" s="568" t="s">
        <v>1822</v>
      </c>
      <c r="P1028" s="22">
        <f t="shared" si="45"/>
        <v>5</v>
      </c>
      <c r="Q1028" s="22">
        <f t="shared" si="46"/>
        <v>3137</v>
      </c>
      <c r="R1028" s="22">
        <f t="shared" si="47"/>
        <v>3141</v>
      </c>
    </row>
    <row r="1029" spans="1:18" x14ac:dyDescent="0.2">
      <c r="A1029" s="567">
        <v>3100</v>
      </c>
      <c r="B1029" s="568" t="s">
        <v>3098</v>
      </c>
      <c r="C1029" s="568" t="s">
        <v>2694</v>
      </c>
      <c r="D1029" s="567">
        <v>8971</v>
      </c>
      <c r="E1029" s="567">
        <v>31</v>
      </c>
      <c r="F1029" s="567">
        <v>14</v>
      </c>
      <c r="G1029" s="567">
        <v>437</v>
      </c>
      <c r="H1029" s="567">
        <v>4151</v>
      </c>
      <c r="O1029" s="568" t="s">
        <v>2489</v>
      </c>
      <c r="P1029" s="22">
        <f t="shared" si="45"/>
        <v>11</v>
      </c>
      <c r="Q1029" s="22">
        <f t="shared" si="46"/>
        <v>3142</v>
      </c>
      <c r="R1029" s="22">
        <f t="shared" si="47"/>
        <v>3152</v>
      </c>
    </row>
    <row r="1030" spans="1:18" x14ac:dyDescent="0.2">
      <c r="A1030" s="567">
        <v>3099</v>
      </c>
      <c r="B1030" s="568" t="s">
        <v>3098</v>
      </c>
      <c r="C1030" s="568" t="s">
        <v>3098</v>
      </c>
      <c r="D1030" s="567">
        <v>8970</v>
      </c>
      <c r="E1030" s="567">
        <v>31</v>
      </c>
      <c r="F1030" s="567">
        <v>14</v>
      </c>
      <c r="G1030" s="567">
        <v>437</v>
      </c>
      <c r="H1030" s="567">
        <v>4151</v>
      </c>
      <c r="O1030" s="568" t="s">
        <v>47</v>
      </c>
      <c r="P1030" s="22">
        <f t="shared" si="45"/>
        <v>2</v>
      </c>
      <c r="Q1030" s="22">
        <f t="shared" si="46"/>
        <v>3153</v>
      </c>
      <c r="R1030" s="22">
        <f t="shared" si="47"/>
        <v>3154</v>
      </c>
    </row>
    <row r="1031" spans="1:18" x14ac:dyDescent="0.2">
      <c r="A1031" s="567">
        <v>3101</v>
      </c>
      <c r="B1031" s="568" t="s">
        <v>3098</v>
      </c>
      <c r="C1031" s="568" t="s">
        <v>3101</v>
      </c>
      <c r="D1031" s="567">
        <v>8972</v>
      </c>
      <c r="E1031" s="567">
        <v>31</v>
      </c>
      <c r="F1031" s="567">
        <v>14</v>
      </c>
      <c r="G1031" s="567">
        <v>437</v>
      </c>
      <c r="H1031" s="567">
        <v>4151</v>
      </c>
      <c r="O1031" s="568" t="s">
        <v>776</v>
      </c>
      <c r="P1031" s="22">
        <f t="shared" si="45"/>
        <v>1</v>
      </c>
      <c r="Q1031" s="22">
        <f t="shared" si="46"/>
        <v>3155</v>
      </c>
      <c r="R1031" s="22">
        <f t="shared" si="47"/>
        <v>3155</v>
      </c>
    </row>
    <row r="1032" spans="1:18" x14ac:dyDescent="0.2">
      <c r="A1032" s="567">
        <v>705</v>
      </c>
      <c r="B1032" s="568" t="s">
        <v>678</v>
      </c>
      <c r="C1032" s="568" t="s">
        <v>678</v>
      </c>
      <c r="D1032" s="567">
        <v>1575</v>
      </c>
      <c r="E1032" s="567">
        <v>15</v>
      </c>
      <c r="F1032" s="567">
        <v>2</v>
      </c>
      <c r="G1032" s="567">
        <v>115</v>
      </c>
      <c r="H1032" s="567">
        <v>1161</v>
      </c>
      <c r="O1032" s="568" t="s">
        <v>1452</v>
      </c>
      <c r="P1032" s="22">
        <f t="shared" si="45"/>
        <v>1</v>
      </c>
      <c r="Q1032" s="22">
        <f t="shared" si="46"/>
        <v>3156</v>
      </c>
      <c r="R1032" s="22">
        <f t="shared" si="47"/>
        <v>3156</v>
      </c>
    </row>
    <row r="1033" spans="1:18" x14ac:dyDescent="0.2">
      <c r="A1033" s="567">
        <v>706</v>
      </c>
      <c r="B1033" s="568" t="s">
        <v>678</v>
      </c>
      <c r="C1033" s="568" t="s">
        <v>690</v>
      </c>
      <c r="D1033" s="567">
        <v>1576</v>
      </c>
      <c r="E1033" s="567">
        <v>15</v>
      </c>
      <c r="F1033" s="567">
        <v>2</v>
      </c>
      <c r="G1033" s="567">
        <v>115</v>
      </c>
      <c r="H1033" s="567">
        <v>1161</v>
      </c>
      <c r="O1033" s="568" t="s">
        <v>1516</v>
      </c>
      <c r="P1033" s="22">
        <f t="shared" si="45"/>
        <v>10</v>
      </c>
      <c r="Q1033" s="22">
        <f t="shared" si="46"/>
        <v>3157</v>
      </c>
      <c r="R1033" s="22">
        <f t="shared" si="47"/>
        <v>3166</v>
      </c>
    </row>
    <row r="1034" spans="1:18" x14ac:dyDescent="0.2">
      <c r="A1034" s="567">
        <v>729</v>
      </c>
      <c r="B1034" s="568" t="s">
        <v>680</v>
      </c>
      <c r="C1034" s="568" t="s">
        <v>679</v>
      </c>
      <c r="D1034" s="567">
        <v>1662</v>
      </c>
      <c r="E1034" s="567">
        <v>16</v>
      </c>
      <c r="F1034" s="567">
        <v>2</v>
      </c>
      <c r="G1034" s="567">
        <v>115</v>
      </c>
      <c r="H1034" s="567">
        <v>1161</v>
      </c>
      <c r="O1034" s="568" t="s">
        <v>1057</v>
      </c>
      <c r="P1034" s="22">
        <f t="shared" si="45"/>
        <v>3</v>
      </c>
      <c r="Q1034" s="22">
        <f t="shared" si="46"/>
        <v>3167</v>
      </c>
      <c r="R1034" s="22">
        <f t="shared" si="47"/>
        <v>3169</v>
      </c>
    </row>
    <row r="1035" spans="1:18" x14ac:dyDescent="0.2">
      <c r="A1035" s="567">
        <v>728</v>
      </c>
      <c r="B1035" s="568" t="s">
        <v>680</v>
      </c>
      <c r="C1035" s="568" t="s">
        <v>169</v>
      </c>
      <c r="D1035" s="567">
        <v>1661</v>
      </c>
      <c r="E1035" s="567">
        <v>16</v>
      </c>
      <c r="F1035" s="567">
        <v>2</v>
      </c>
      <c r="G1035" s="567">
        <v>115</v>
      </c>
      <c r="H1035" s="567">
        <v>1161</v>
      </c>
      <c r="O1035" s="568" t="s">
        <v>1350</v>
      </c>
      <c r="P1035" s="22">
        <f t="shared" si="45"/>
        <v>2</v>
      </c>
      <c r="Q1035" s="22">
        <f t="shared" si="46"/>
        <v>3170</v>
      </c>
      <c r="R1035" s="22">
        <f t="shared" si="47"/>
        <v>3171</v>
      </c>
    </row>
    <row r="1036" spans="1:18" x14ac:dyDescent="0.2">
      <c r="A1036" s="567">
        <v>727</v>
      </c>
      <c r="B1036" s="568" t="s">
        <v>680</v>
      </c>
      <c r="C1036" s="568" t="s">
        <v>681</v>
      </c>
      <c r="D1036" s="567">
        <v>1660</v>
      </c>
      <c r="E1036" s="567">
        <v>16</v>
      </c>
      <c r="F1036" s="567">
        <v>2</v>
      </c>
      <c r="G1036" s="567">
        <v>115</v>
      </c>
      <c r="H1036" s="567">
        <v>1161</v>
      </c>
      <c r="O1036" s="568" t="s">
        <v>454</v>
      </c>
      <c r="P1036" s="22">
        <f t="shared" si="45"/>
        <v>1</v>
      </c>
      <c r="Q1036" s="22">
        <f t="shared" si="46"/>
        <v>3172</v>
      </c>
      <c r="R1036" s="22">
        <f t="shared" si="47"/>
        <v>3172</v>
      </c>
    </row>
    <row r="1037" spans="1:18" x14ac:dyDescent="0.2">
      <c r="A1037" s="567">
        <v>1523</v>
      </c>
      <c r="B1037" s="568" t="s">
        <v>1676</v>
      </c>
      <c r="C1037" s="568" t="s">
        <v>1676</v>
      </c>
      <c r="D1037" s="567">
        <v>4190</v>
      </c>
      <c r="E1037" s="567">
        <v>29</v>
      </c>
      <c r="F1037" s="567">
        <v>17</v>
      </c>
      <c r="G1037" s="567">
        <v>235</v>
      </c>
      <c r="H1037" s="567">
        <v>2160</v>
      </c>
      <c r="O1037" s="568" t="s">
        <v>2809</v>
      </c>
      <c r="P1037" s="22">
        <f t="shared" si="45"/>
        <v>7</v>
      </c>
      <c r="Q1037" s="22">
        <f t="shared" si="46"/>
        <v>3173</v>
      </c>
      <c r="R1037" s="22">
        <f t="shared" si="47"/>
        <v>3179</v>
      </c>
    </row>
    <row r="1038" spans="1:18" x14ac:dyDescent="0.2">
      <c r="A1038" s="567">
        <v>2223</v>
      </c>
      <c r="B1038" s="568" t="s">
        <v>741</v>
      </c>
      <c r="C1038" s="568" t="s">
        <v>741</v>
      </c>
      <c r="D1038" s="567">
        <v>6440</v>
      </c>
      <c r="E1038" s="567">
        <v>18</v>
      </c>
      <c r="F1038" s="567">
        <v>8</v>
      </c>
      <c r="G1038" s="567">
        <v>327</v>
      </c>
      <c r="H1038" s="567">
        <v>3170</v>
      </c>
      <c r="O1038" s="568" t="s">
        <v>2962</v>
      </c>
      <c r="P1038" s="22">
        <f t="shared" si="45"/>
        <v>1</v>
      </c>
      <c r="Q1038" s="22">
        <f t="shared" si="46"/>
        <v>3180</v>
      </c>
      <c r="R1038" s="22">
        <f t="shared" si="47"/>
        <v>3180</v>
      </c>
    </row>
    <row r="1039" spans="1:18" x14ac:dyDescent="0.2">
      <c r="A1039" s="567">
        <v>2224</v>
      </c>
      <c r="B1039" s="568" t="s">
        <v>741</v>
      </c>
      <c r="C1039" s="568" t="s">
        <v>2417</v>
      </c>
      <c r="D1039" s="567">
        <v>6441</v>
      </c>
      <c r="E1039" s="567">
        <v>18</v>
      </c>
      <c r="F1039" s="567">
        <v>8</v>
      </c>
      <c r="G1039" s="567">
        <v>327</v>
      </c>
      <c r="H1039" s="567">
        <v>3170</v>
      </c>
      <c r="O1039" s="568" t="s">
        <v>2771</v>
      </c>
      <c r="P1039" s="22">
        <f t="shared" ref="P1039:P1102" si="48">COUNTIF($B$13:$B$3400,O1039)</f>
        <v>3</v>
      </c>
      <c r="Q1039" s="22">
        <f t="shared" si="46"/>
        <v>3181</v>
      </c>
      <c r="R1039" s="22">
        <f t="shared" si="47"/>
        <v>3183</v>
      </c>
    </row>
    <row r="1040" spans="1:18" x14ac:dyDescent="0.2">
      <c r="A1040" s="567">
        <v>2225</v>
      </c>
      <c r="B1040" s="568" t="s">
        <v>741</v>
      </c>
      <c r="C1040" s="568" t="s">
        <v>2418</v>
      </c>
      <c r="D1040" s="567">
        <v>6442</v>
      </c>
      <c r="E1040" s="567">
        <v>18</v>
      </c>
      <c r="F1040" s="567">
        <v>8</v>
      </c>
      <c r="G1040" s="567">
        <v>327</v>
      </c>
      <c r="H1040" s="567">
        <v>3170</v>
      </c>
      <c r="O1040" s="568" t="s">
        <v>453</v>
      </c>
      <c r="P1040" s="22">
        <f t="shared" si="48"/>
        <v>1</v>
      </c>
      <c r="Q1040" s="22">
        <f t="shared" si="46"/>
        <v>3184</v>
      </c>
      <c r="R1040" s="22">
        <f t="shared" si="47"/>
        <v>3184</v>
      </c>
    </row>
    <row r="1041" spans="1:18" x14ac:dyDescent="0.2">
      <c r="A1041" s="567">
        <v>2226</v>
      </c>
      <c r="B1041" s="568" t="s">
        <v>741</v>
      </c>
      <c r="C1041" s="568" t="s">
        <v>2419</v>
      </c>
      <c r="D1041" s="567">
        <v>6443</v>
      </c>
      <c r="E1041" s="567">
        <v>18</v>
      </c>
      <c r="F1041" s="567">
        <v>8</v>
      </c>
      <c r="G1041" s="567">
        <v>327</v>
      </c>
      <c r="H1041" s="567">
        <v>3170</v>
      </c>
      <c r="O1041" s="568" t="s">
        <v>2441</v>
      </c>
      <c r="P1041" s="22">
        <f t="shared" si="48"/>
        <v>1</v>
      </c>
      <c r="Q1041" s="22">
        <f t="shared" ref="Q1041:Q1104" si="49">R1040+1</f>
        <v>3185</v>
      </c>
      <c r="R1041" s="22">
        <f t="shared" ref="R1041:R1104" si="50">R1040+P1041</f>
        <v>3185</v>
      </c>
    </row>
    <row r="1042" spans="1:18" x14ac:dyDescent="0.2">
      <c r="A1042" s="567">
        <v>2227</v>
      </c>
      <c r="B1042" s="568" t="s">
        <v>741</v>
      </c>
      <c r="C1042" s="568" t="s">
        <v>2420</v>
      </c>
      <c r="D1042" s="567">
        <v>6444</v>
      </c>
      <c r="E1042" s="567">
        <v>18</v>
      </c>
      <c r="F1042" s="567">
        <v>8</v>
      </c>
      <c r="G1042" s="567">
        <v>327</v>
      </c>
      <c r="H1042" s="567">
        <v>3170</v>
      </c>
      <c r="O1042" s="568" t="s">
        <v>2500</v>
      </c>
      <c r="P1042" s="22">
        <f t="shared" si="48"/>
        <v>2</v>
      </c>
      <c r="Q1042" s="22">
        <f t="shared" si="49"/>
        <v>3186</v>
      </c>
      <c r="R1042" s="22">
        <f t="shared" si="50"/>
        <v>3187</v>
      </c>
    </row>
    <row r="1043" spans="1:18" x14ac:dyDescent="0.2">
      <c r="A1043" s="567">
        <v>2778</v>
      </c>
      <c r="B1043" s="568" t="s">
        <v>84</v>
      </c>
      <c r="C1043" s="568" t="s">
        <v>2620</v>
      </c>
      <c r="D1043" s="567">
        <v>7962</v>
      </c>
      <c r="E1043" s="567">
        <v>22</v>
      </c>
      <c r="F1043" s="567">
        <v>17</v>
      </c>
      <c r="G1043" s="567">
        <v>417</v>
      </c>
      <c r="H1043" s="567">
        <v>4100</v>
      </c>
      <c r="O1043" s="568" t="s">
        <v>3250</v>
      </c>
      <c r="P1043" s="22">
        <f t="shared" si="48"/>
        <v>1</v>
      </c>
      <c r="Q1043" s="22">
        <f t="shared" si="49"/>
        <v>3188</v>
      </c>
      <c r="R1043" s="22">
        <f t="shared" si="50"/>
        <v>3188</v>
      </c>
    </row>
    <row r="1044" spans="1:18" x14ac:dyDescent="0.2">
      <c r="A1044" s="567">
        <v>2776</v>
      </c>
      <c r="B1044" s="568" t="s">
        <v>84</v>
      </c>
      <c r="C1044" s="568" t="s">
        <v>84</v>
      </c>
      <c r="D1044" s="567">
        <v>7960</v>
      </c>
      <c r="E1044" s="567">
        <v>22</v>
      </c>
      <c r="F1044" s="567">
        <v>17</v>
      </c>
      <c r="G1044" s="567">
        <v>417</v>
      </c>
      <c r="H1044" s="567">
        <v>4100</v>
      </c>
      <c r="O1044" s="568" t="s">
        <v>390</v>
      </c>
      <c r="P1044" s="22">
        <f t="shared" si="48"/>
        <v>9</v>
      </c>
      <c r="Q1044" s="22">
        <f t="shared" si="49"/>
        <v>3189</v>
      </c>
      <c r="R1044" s="22">
        <f t="shared" si="50"/>
        <v>3197</v>
      </c>
    </row>
    <row r="1045" spans="1:18" x14ac:dyDescent="0.2">
      <c r="A1045" s="567">
        <v>2777</v>
      </c>
      <c r="B1045" s="568" t="s">
        <v>84</v>
      </c>
      <c r="C1045" s="568" t="s">
        <v>2663</v>
      </c>
      <c r="D1045" s="567">
        <v>7961</v>
      </c>
      <c r="E1045" s="567">
        <v>22</v>
      </c>
      <c r="F1045" s="567">
        <v>17</v>
      </c>
      <c r="G1045" s="567">
        <v>417</v>
      </c>
      <c r="H1045" s="567">
        <v>4100</v>
      </c>
      <c r="O1045" s="568" t="s">
        <v>2054</v>
      </c>
      <c r="P1045" s="22">
        <f t="shared" si="48"/>
        <v>4</v>
      </c>
      <c r="Q1045" s="22">
        <f t="shared" si="49"/>
        <v>3198</v>
      </c>
      <c r="R1045" s="22">
        <f t="shared" si="50"/>
        <v>3201</v>
      </c>
    </row>
    <row r="1046" spans="1:18" x14ac:dyDescent="0.2">
      <c r="A1046" s="567">
        <v>862</v>
      </c>
      <c r="B1046" s="568" t="s">
        <v>422</v>
      </c>
      <c r="C1046" s="568" t="s">
        <v>118</v>
      </c>
      <c r="D1046" s="567">
        <v>2175</v>
      </c>
      <c r="E1046" s="567">
        <v>24</v>
      </c>
      <c r="F1046" s="567">
        <v>14</v>
      </c>
      <c r="G1046" s="567">
        <v>117</v>
      </c>
      <c r="H1046" s="567">
        <v>1130</v>
      </c>
      <c r="O1046" s="568" t="s">
        <v>649</v>
      </c>
      <c r="P1046" s="22">
        <f t="shared" si="48"/>
        <v>5</v>
      </c>
      <c r="Q1046" s="22">
        <f t="shared" si="49"/>
        <v>3202</v>
      </c>
      <c r="R1046" s="22">
        <f t="shared" si="50"/>
        <v>3206</v>
      </c>
    </row>
    <row r="1047" spans="1:18" x14ac:dyDescent="0.2">
      <c r="A1047" s="567">
        <v>857</v>
      </c>
      <c r="B1047" s="568" t="s">
        <v>422</v>
      </c>
      <c r="C1047" s="568" t="s">
        <v>84</v>
      </c>
      <c r="D1047" s="567">
        <v>2170</v>
      </c>
      <c r="E1047" s="567">
        <v>24</v>
      </c>
      <c r="F1047" s="567">
        <v>14</v>
      </c>
      <c r="G1047" s="567">
        <v>117</v>
      </c>
      <c r="H1047" s="567">
        <v>1130</v>
      </c>
      <c r="O1047" s="568" t="s">
        <v>694</v>
      </c>
      <c r="P1047" s="22">
        <f t="shared" si="48"/>
        <v>3</v>
      </c>
      <c r="Q1047" s="22">
        <f t="shared" si="49"/>
        <v>3207</v>
      </c>
      <c r="R1047" s="22">
        <f t="shared" si="50"/>
        <v>3209</v>
      </c>
    </row>
    <row r="1048" spans="1:18" x14ac:dyDescent="0.2">
      <c r="A1048" s="567">
        <v>858</v>
      </c>
      <c r="B1048" s="568" t="s">
        <v>422</v>
      </c>
      <c r="C1048" s="568" t="s">
        <v>147</v>
      </c>
      <c r="D1048" s="567">
        <v>2171</v>
      </c>
      <c r="E1048" s="567">
        <v>24</v>
      </c>
      <c r="F1048" s="567">
        <v>14</v>
      </c>
      <c r="G1048" s="567">
        <v>117</v>
      </c>
      <c r="H1048" s="567">
        <v>1130</v>
      </c>
      <c r="O1048" s="568" t="s">
        <v>2612</v>
      </c>
      <c r="P1048" s="22">
        <f t="shared" si="48"/>
        <v>1</v>
      </c>
      <c r="Q1048" s="22">
        <f t="shared" si="49"/>
        <v>3210</v>
      </c>
      <c r="R1048" s="22">
        <f t="shared" si="50"/>
        <v>3210</v>
      </c>
    </row>
    <row r="1049" spans="1:18" x14ac:dyDescent="0.2">
      <c r="A1049" s="567">
        <v>859</v>
      </c>
      <c r="B1049" s="568" t="s">
        <v>422</v>
      </c>
      <c r="C1049" s="568" t="s">
        <v>432</v>
      </c>
      <c r="D1049" s="567">
        <v>2172</v>
      </c>
      <c r="E1049" s="567">
        <v>24</v>
      </c>
      <c r="F1049" s="567">
        <v>14</v>
      </c>
      <c r="G1049" s="567">
        <v>117</v>
      </c>
      <c r="H1049" s="567">
        <v>1130</v>
      </c>
      <c r="O1049" s="568" t="s">
        <v>824</v>
      </c>
      <c r="P1049" s="22">
        <f t="shared" si="48"/>
        <v>5</v>
      </c>
      <c r="Q1049" s="22">
        <f t="shared" si="49"/>
        <v>3211</v>
      </c>
      <c r="R1049" s="22">
        <f t="shared" si="50"/>
        <v>3215</v>
      </c>
    </row>
    <row r="1050" spans="1:18" x14ac:dyDescent="0.2">
      <c r="A1050" s="567">
        <v>861</v>
      </c>
      <c r="B1050" s="568" t="s">
        <v>422</v>
      </c>
      <c r="C1050" s="568" t="s">
        <v>435</v>
      </c>
      <c r="D1050" s="567">
        <v>2174</v>
      </c>
      <c r="E1050" s="567">
        <v>24</v>
      </c>
      <c r="F1050" s="567">
        <v>14</v>
      </c>
      <c r="G1050" s="567">
        <v>117</v>
      </c>
      <c r="H1050" s="567">
        <v>1130</v>
      </c>
      <c r="O1050" s="568" t="s">
        <v>823</v>
      </c>
      <c r="P1050" s="22">
        <f t="shared" si="48"/>
        <v>2</v>
      </c>
      <c r="Q1050" s="22">
        <f t="shared" si="49"/>
        <v>3216</v>
      </c>
      <c r="R1050" s="22">
        <f t="shared" si="50"/>
        <v>3217</v>
      </c>
    </row>
    <row r="1051" spans="1:18" x14ac:dyDescent="0.2">
      <c r="A1051" s="567">
        <v>863</v>
      </c>
      <c r="B1051" s="568" t="s">
        <v>422</v>
      </c>
      <c r="C1051" s="568" t="s">
        <v>437</v>
      </c>
      <c r="D1051" s="567">
        <v>2176</v>
      </c>
      <c r="E1051" s="567">
        <v>24</v>
      </c>
      <c r="F1051" s="567">
        <v>14</v>
      </c>
      <c r="G1051" s="567">
        <v>117</v>
      </c>
      <c r="H1051" s="567">
        <v>1130</v>
      </c>
      <c r="O1051" s="568" t="s">
        <v>1351</v>
      </c>
      <c r="P1051" s="22">
        <f t="shared" si="48"/>
        <v>1</v>
      </c>
      <c r="Q1051" s="22">
        <f t="shared" si="49"/>
        <v>3218</v>
      </c>
      <c r="R1051" s="22">
        <f t="shared" si="50"/>
        <v>3218</v>
      </c>
    </row>
    <row r="1052" spans="1:18" x14ac:dyDescent="0.2">
      <c r="A1052" s="567">
        <v>860</v>
      </c>
      <c r="B1052" s="568" t="s">
        <v>422</v>
      </c>
      <c r="C1052" s="568" t="s">
        <v>449</v>
      </c>
      <c r="D1052" s="567">
        <v>2173</v>
      </c>
      <c r="E1052" s="567">
        <v>24</v>
      </c>
      <c r="F1052" s="567">
        <v>14</v>
      </c>
      <c r="G1052" s="567">
        <v>117</v>
      </c>
      <c r="H1052" s="567">
        <v>1130</v>
      </c>
      <c r="O1052" s="568" t="s">
        <v>1352</v>
      </c>
      <c r="P1052" s="22">
        <f t="shared" si="48"/>
        <v>1</v>
      </c>
      <c r="Q1052" s="22">
        <f t="shared" si="49"/>
        <v>3219</v>
      </c>
      <c r="R1052" s="22">
        <f t="shared" si="50"/>
        <v>3219</v>
      </c>
    </row>
    <row r="1053" spans="1:18" x14ac:dyDescent="0.2">
      <c r="A1053" s="567">
        <v>403</v>
      </c>
      <c r="B1053" s="568" t="s">
        <v>534</v>
      </c>
      <c r="C1053" s="568" t="s">
        <v>534</v>
      </c>
      <c r="D1053" s="567">
        <v>745</v>
      </c>
      <c r="E1053" s="567">
        <v>34</v>
      </c>
      <c r="F1053" s="567">
        <v>2</v>
      </c>
      <c r="G1053" s="567">
        <v>125</v>
      </c>
      <c r="H1053" s="567">
        <v>1150</v>
      </c>
      <c r="O1053" s="568" t="s">
        <v>1366</v>
      </c>
      <c r="P1053" s="22">
        <f t="shared" si="48"/>
        <v>7</v>
      </c>
      <c r="Q1053" s="22">
        <f t="shared" si="49"/>
        <v>3220</v>
      </c>
      <c r="R1053" s="22">
        <f t="shared" si="50"/>
        <v>3226</v>
      </c>
    </row>
    <row r="1054" spans="1:18" x14ac:dyDescent="0.2">
      <c r="A1054" s="567">
        <v>404</v>
      </c>
      <c r="B1054" s="568" t="s">
        <v>534</v>
      </c>
      <c r="C1054" s="568" t="s">
        <v>617</v>
      </c>
      <c r="D1054" s="567">
        <v>746</v>
      </c>
      <c r="E1054" s="567">
        <v>34</v>
      </c>
      <c r="F1054" s="567">
        <v>2</v>
      </c>
      <c r="G1054" s="567">
        <v>125</v>
      </c>
      <c r="H1054" s="567">
        <v>1150</v>
      </c>
      <c r="O1054" s="568" t="s">
        <v>635</v>
      </c>
      <c r="P1054" s="22">
        <f t="shared" si="48"/>
        <v>4</v>
      </c>
      <c r="Q1054" s="22">
        <f t="shared" si="49"/>
        <v>3227</v>
      </c>
      <c r="R1054" s="22">
        <f t="shared" si="50"/>
        <v>3230</v>
      </c>
    </row>
    <row r="1055" spans="1:18" x14ac:dyDescent="0.2">
      <c r="A1055" s="567">
        <v>483</v>
      </c>
      <c r="B1055" s="568" t="s">
        <v>777</v>
      </c>
      <c r="C1055" s="568" t="s">
        <v>777</v>
      </c>
      <c r="D1055" s="567">
        <v>935</v>
      </c>
      <c r="E1055" s="567">
        <v>18</v>
      </c>
      <c r="F1055" s="567">
        <v>1</v>
      </c>
      <c r="G1055" s="567">
        <v>118</v>
      </c>
      <c r="H1055" s="567">
        <v>1170</v>
      </c>
      <c r="O1055" s="568" t="s">
        <v>191</v>
      </c>
      <c r="P1055" s="22">
        <f t="shared" si="48"/>
        <v>5</v>
      </c>
      <c r="Q1055" s="22">
        <f t="shared" si="49"/>
        <v>3231</v>
      </c>
      <c r="R1055" s="22">
        <f t="shared" si="50"/>
        <v>3235</v>
      </c>
    </row>
    <row r="1056" spans="1:18" x14ac:dyDescent="0.2">
      <c r="A1056" s="567">
        <v>1758</v>
      </c>
      <c r="B1056" s="568" t="s">
        <v>2119</v>
      </c>
      <c r="C1056" s="568" t="s">
        <v>167</v>
      </c>
      <c r="D1056" s="567">
        <v>4822</v>
      </c>
      <c r="E1056" s="567">
        <v>34</v>
      </c>
      <c r="F1056" s="567">
        <v>5</v>
      </c>
      <c r="G1056" s="567">
        <v>317</v>
      </c>
      <c r="H1056" s="567">
        <v>3140</v>
      </c>
      <c r="O1056" s="568" t="s">
        <v>1108</v>
      </c>
      <c r="P1056" s="22">
        <f t="shared" si="48"/>
        <v>2</v>
      </c>
      <c r="Q1056" s="22">
        <f t="shared" si="49"/>
        <v>3236</v>
      </c>
      <c r="R1056" s="22">
        <f t="shared" si="50"/>
        <v>3237</v>
      </c>
    </row>
    <row r="1057" spans="1:18" x14ac:dyDescent="0.2">
      <c r="A1057" s="567">
        <v>1759</v>
      </c>
      <c r="B1057" s="568" t="s">
        <v>2119</v>
      </c>
      <c r="C1057" s="568" t="s">
        <v>2120</v>
      </c>
      <c r="D1057" s="567">
        <v>4823</v>
      </c>
      <c r="E1057" s="567">
        <v>34</v>
      </c>
      <c r="F1057" s="567">
        <v>5</v>
      </c>
      <c r="G1057" s="567">
        <v>317</v>
      </c>
      <c r="H1057" s="567">
        <v>3140</v>
      </c>
      <c r="O1057" s="568" t="s">
        <v>671</v>
      </c>
      <c r="P1057" s="22">
        <f t="shared" si="48"/>
        <v>2</v>
      </c>
      <c r="Q1057" s="22">
        <f t="shared" si="49"/>
        <v>3238</v>
      </c>
      <c r="R1057" s="22">
        <f t="shared" si="50"/>
        <v>3239</v>
      </c>
    </row>
    <row r="1058" spans="1:18" x14ac:dyDescent="0.2">
      <c r="A1058" s="567">
        <v>1757</v>
      </c>
      <c r="B1058" s="568" t="s">
        <v>2119</v>
      </c>
      <c r="C1058" s="568" t="s">
        <v>1162</v>
      </c>
      <c r="D1058" s="567">
        <v>4821</v>
      </c>
      <c r="E1058" s="567">
        <v>34</v>
      </c>
      <c r="F1058" s="567">
        <v>5</v>
      </c>
      <c r="G1058" s="567">
        <v>317</v>
      </c>
      <c r="H1058" s="567">
        <v>3140</v>
      </c>
      <c r="O1058" s="568" t="s">
        <v>261</v>
      </c>
      <c r="P1058" s="22">
        <f t="shared" si="48"/>
        <v>4</v>
      </c>
      <c r="Q1058" s="22">
        <f t="shared" si="49"/>
        <v>3240</v>
      </c>
      <c r="R1058" s="22">
        <f t="shared" si="50"/>
        <v>3243</v>
      </c>
    </row>
    <row r="1059" spans="1:18" x14ac:dyDescent="0.2">
      <c r="A1059" s="567">
        <v>1756</v>
      </c>
      <c r="B1059" s="568" t="s">
        <v>2119</v>
      </c>
      <c r="C1059" s="568" t="s">
        <v>2119</v>
      </c>
      <c r="D1059" s="567">
        <v>4820</v>
      </c>
      <c r="E1059" s="567">
        <v>34</v>
      </c>
      <c r="F1059" s="567">
        <v>5</v>
      </c>
      <c r="G1059" s="567">
        <v>317</v>
      </c>
      <c r="H1059" s="567">
        <v>3140</v>
      </c>
      <c r="O1059" s="568" t="s">
        <v>933</v>
      </c>
      <c r="P1059" s="22">
        <f t="shared" si="48"/>
        <v>2</v>
      </c>
      <c r="Q1059" s="22">
        <f t="shared" si="49"/>
        <v>3244</v>
      </c>
      <c r="R1059" s="22">
        <f t="shared" si="50"/>
        <v>3245</v>
      </c>
    </row>
    <row r="1060" spans="1:18" x14ac:dyDescent="0.2">
      <c r="A1060" s="567">
        <v>258</v>
      </c>
      <c r="B1060" s="568" t="s">
        <v>1050</v>
      </c>
      <c r="C1060" s="568" t="s">
        <v>1049</v>
      </c>
      <c r="D1060" s="567">
        <v>418</v>
      </c>
      <c r="E1060" s="567">
        <v>32</v>
      </c>
      <c r="F1060" s="567">
        <v>20</v>
      </c>
      <c r="G1060" s="567">
        <v>127</v>
      </c>
      <c r="H1060" s="567">
        <v>1200</v>
      </c>
      <c r="O1060" s="568" t="s">
        <v>1848</v>
      </c>
      <c r="P1060" s="22">
        <f t="shared" si="48"/>
        <v>1</v>
      </c>
      <c r="Q1060" s="22">
        <f t="shared" si="49"/>
        <v>3246</v>
      </c>
      <c r="R1060" s="22">
        <f t="shared" si="50"/>
        <v>3246</v>
      </c>
    </row>
    <row r="1061" spans="1:18" x14ac:dyDescent="0.2">
      <c r="A1061" s="567">
        <v>257</v>
      </c>
      <c r="B1061" s="568" t="s">
        <v>1050</v>
      </c>
      <c r="C1061" s="568" t="s">
        <v>1051</v>
      </c>
      <c r="D1061" s="567">
        <v>417</v>
      </c>
      <c r="E1061" s="567">
        <v>32</v>
      </c>
      <c r="F1061" s="567">
        <v>20</v>
      </c>
      <c r="G1061" s="567">
        <v>127</v>
      </c>
      <c r="H1061" s="567">
        <v>1200</v>
      </c>
      <c r="O1061" s="568" t="s">
        <v>2410</v>
      </c>
      <c r="P1061" s="22">
        <f t="shared" si="48"/>
        <v>2</v>
      </c>
      <c r="Q1061" s="22">
        <f t="shared" si="49"/>
        <v>3247</v>
      </c>
      <c r="R1061" s="22">
        <f t="shared" si="50"/>
        <v>3248</v>
      </c>
    </row>
    <row r="1062" spans="1:18" x14ac:dyDescent="0.2">
      <c r="A1062" s="567">
        <v>256</v>
      </c>
      <c r="B1062" s="568" t="s">
        <v>1050</v>
      </c>
      <c r="C1062" s="568" t="s">
        <v>1052</v>
      </c>
      <c r="D1062" s="567">
        <v>416</v>
      </c>
      <c r="E1062" s="567">
        <v>32</v>
      </c>
      <c r="F1062" s="567">
        <v>20</v>
      </c>
      <c r="G1062" s="567">
        <v>127</v>
      </c>
      <c r="H1062" s="567">
        <v>1200</v>
      </c>
      <c r="O1062" s="568" t="s">
        <v>241</v>
      </c>
      <c r="P1062" s="22">
        <f t="shared" si="48"/>
        <v>1</v>
      </c>
      <c r="Q1062" s="22">
        <f t="shared" si="49"/>
        <v>3249</v>
      </c>
      <c r="R1062" s="22">
        <f t="shared" si="50"/>
        <v>3249</v>
      </c>
    </row>
    <row r="1063" spans="1:18" x14ac:dyDescent="0.2">
      <c r="A1063" s="567">
        <v>255</v>
      </c>
      <c r="B1063" s="568" t="s">
        <v>1050</v>
      </c>
      <c r="C1063" s="568" t="s">
        <v>1050</v>
      </c>
      <c r="D1063" s="567">
        <v>415</v>
      </c>
      <c r="E1063" s="567">
        <v>32</v>
      </c>
      <c r="F1063" s="567">
        <v>20</v>
      </c>
      <c r="G1063" s="567">
        <v>127</v>
      </c>
      <c r="H1063" s="567">
        <v>1200</v>
      </c>
      <c r="O1063" s="568" t="s">
        <v>2072</v>
      </c>
      <c r="P1063" s="22">
        <f t="shared" si="48"/>
        <v>1</v>
      </c>
      <c r="Q1063" s="22">
        <f t="shared" si="49"/>
        <v>3250</v>
      </c>
      <c r="R1063" s="22">
        <f t="shared" si="50"/>
        <v>3250</v>
      </c>
    </row>
    <row r="1064" spans="1:18" x14ac:dyDescent="0.2">
      <c r="A1064" s="567">
        <v>555</v>
      </c>
      <c r="B1064" s="568" t="s">
        <v>725</v>
      </c>
      <c r="C1064" s="568" t="s">
        <v>725</v>
      </c>
      <c r="D1064" s="567">
        <v>1165</v>
      </c>
      <c r="E1064" s="567">
        <v>19</v>
      </c>
      <c r="F1064" s="567">
        <v>1</v>
      </c>
      <c r="G1064" s="567">
        <v>118</v>
      </c>
      <c r="H1064" s="567">
        <v>1170</v>
      </c>
      <c r="O1064" s="568" t="s">
        <v>885</v>
      </c>
      <c r="P1064" s="22">
        <f t="shared" si="48"/>
        <v>1</v>
      </c>
      <c r="Q1064" s="22">
        <f t="shared" si="49"/>
        <v>3251</v>
      </c>
      <c r="R1064" s="22">
        <f t="shared" si="50"/>
        <v>3251</v>
      </c>
    </row>
    <row r="1065" spans="1:18" x14ac:dyDescent="0.2">
      <c r="A1065" s="567">
        <v>1370</v>
      </c>
      <c r="B1065" s="568" t="s">
        <v>1106</v>
      </c>
      <c r="C1065" s="568" t="s">
        <v>1105</v>
      </c>
      <c r="D1065" s="567">
        <v>3734</v>
      </c>
      <c r="E1065" s="567">
        <v>17</v>
      </c>
      <c r="F1065" s="567">
        <v>5</v>
      </c>
      <c r="G1065" s="567">
        <v>216</v>
      </c>
      <c r="H1065" s="567">
        <v>2100</v>
      </c>
      <c r="O1065" s="568" t="s">
        <v>272</v>
      </c>
      <c r="P1065" s="22">
        <f t="shared" si="48"/>
        <v>6</v>
      </c>
      <c r="Q1065" s="22">
        <f t="shared" si="49"/>
        <v>3252</v>
      </c>
      <c r="R1065" s="22">
        <f t="shared" si="50"/>
        <v>3257</v>
      </c>
    </row>
    <row r="1066" spans="1:18" x14ac:dyDescent="0.2">
      <c r="A1066" s="567">
        <v>1371</v>
      </c>
      <c r="B1066" s="568" t="s">
        <v>1106</v>
      </c>
      <c r="C1066" s="568" t="s">
        <v>1107</v>
      </c>
      <c r="D1066" s="567">
        <v>3735</v>
      </c>
      <c r="E1066" s="567">
        <v>17</v>
      </c>
      <c r="F1066" s="567">
        <v>5</v>
      </c>
      <c r="G1066" s="567">
        <v>216</v>
      </c>
      <c r="H1066" s="567">
        <v>2100</v>
      </c>
      <c r="O1066" s="568" t="s">
        <v>882</v>
      </c>
      <c r="P1066" s="22">
        <f t="shared" si="48"/>
        <v>1</v>
      </c>
      <c r="Q1066" s="22">
        <f t="shared" si="49"/>
        <v>3258</v>
      </c>
      <c r="R1066" s="22">
        <f t="shared" si="50"/>
        <v>3258</v>
      </c>
    </row>
    <row r="1067" spans="1:18" x14ac:dyDescent="0.2">
      <c r="A1067" s="567">
        <v>1368</v>
      </c>
      <c r="B1067" s="568" t="s">
        <v>1106</v>
      </c>
      <c r="C1067" s="568" t="s">
        <v>1007</v>
      </c>
      <c r="D1067" s="567">
        <v>3732</v>
      </c>
      <c r="E1067" s="567">
        <v>17</v>
      </c>
      <c r="F1067" s="567">
        <v>5</v>
      </c>
      <c r="G1067" s="567">
        <v>216</v>
      </c>
      <c r="H1067" s="567">
        <v>2100</v>
      </c>
      <c r="O1067" s="568" t="s">
        <v>295</v>
      </c>
      <c r="P1067" s="22">
        <f t="shared" si="48"/>
        <v>16</v>
      </c>
      <c r="Q1067" s="22">
        <f t="shared" si="49"/>
        <v>3259</v>
      </c>
      <c r="R1067" s="22">
        <f t="shared" si="50"/>
        <v>3274</v>
      </c>
    </row>
    <row r="1068" spans="1:18" x14ac:dyDescent="0.2">
      <c r="A1068" s="567">
        <v>1367</v>
      </c>
      <c r="B1068" s="568" t="s">
        <v>1106</v>
      </c>
      <c r="C1068" s="568" t="s">
        <v>1117</v>
      </c>
      <c r="D1068" s="567">
        <v>3731</v>
      </c>
      <c r="E1068" s="567">
        <v>17</v>
      </c>
      <c r="F1068" s="567">
        <v>5</v>
      </c>
      <c r="G1068" s="567">
        <v>216</v>
      </c>
      <c r="H1068" s="567">
        <v>2100</v>
      </c>
      <c r="O1068" s="568" t="s">
        <v>3224</v>
      </c>
      <c r="P1068" s="22">
        <f t="shared" si="48"/>
        <v>1</v>
      </c>
      <c r="Q1068" s="22">
        <f t="shared" si="49"/>
        <v>3275</v>
      </c>
      <c r="R1068" s="22">
        <f t="shared" si="50"/>
        <v>3275</v>
      </c>
    </row>
    <row r="1069" spans="1:18" x14ac:dyDescent="0.2">
      <c r="A1069" s="567">
        <v>1369</v>
      </c>
      <c r="B1069" s="568" t="s">
        <v>1106</v>
      </c>
      <c r="C1069" s="568" t="s">
        <v>1138</v>
      </c>
      <c r="D1069" s="567">
        <v>3733</v>
      </c>
      <c r="E1069" s="567">
        <v>17</v>
      </c>
      <c r="F1069" s="567">
        <v>5</v>
      </c>
      <c r="G1069" s="567">
        <v>216</v>
      </c>
      <c r="H1069" s="567">
        <v>2100</v>
      </c>
      <c r="O1069" s="568" t="s">
        <v>3216</v>
      </c>
      <c r="P1069" s="22">
        <f t="shared" si="48"/>
        <v>1</v>
      </c>
      <c r="Q1069" s="22">
        <f t="shared" si="49"/>
        <v>3276</v>
      </c>
      <c r="R1069" s="22">
        <f t="shared" si="50"/>
        <v>3276</v>
      </c>
    </row>
    <row r="1070" spans="1:18" x14ac:dyDescent="0.2">
      <c r="A1070" s="567">
        <v>1366</v>
      </c>
      <c r="B1070" s="568" t="s">
        <v>1106</v>
      </c>
      <c r="C1070" s="568" t="s">
        <v>1106</v>
      </c>
      <c r="D1070" s="567">
        <v>3730</v>
      </c>
      <c r="E1070" s="567">
        <v>17</v>
      </c>
      <c r="F1070" s="567">
        <v>5</v>
      </c>
      <c r="G1070" s="567">
        <v>216</v>
      </c>
      <c r="H1070" s="567">
        <v>2100</v>
      </c>
      <c r="O1070" s="568" t="s">
        <v>133</v>
      </c>
      <c r="P1070" s="22">
        <f t="shared" si="48"/>
        <v>2</v>
      </c>
      <c r="Q1070" s="22">
        <f t="shared" si="49"/>
        <v>3277</v>
      </c>
      <c r="R1070" s="22">
        <f t="shared" si="50"/>
        <v>3278</v>
      </c>
    </row>
    <row r="1071" spans="1:18" x14ac:dyDescent="0.2">
      <c r="A1071" s="567">
        <v>993</v>
      </c>
      <c r="B1071" s="568" t="s">
        <v>482</v>
      </c>
      <c r="C1071" s="568" t="s">
        <v>481</v>
      </c>
      <c r="D1071" s="567">
        <v>2577</v>
      </c>
      <c r="E1071" s="567">
        <v>15</v>
      </c>
      <c r="F1071" s="567">
        <v>14</v>
      </c>
      <c r="G1071" s="567">
        <v>135</v>
      </c>
      <c r="H1071" s="567">
        <v>1140</v>
      </c>
      <c r="O1071" s="568" t="s">
        <v>571</v>
      </c>
      <c r="P1071" s="22">
        <f t="shared" si="48"/>
        <v>2</v>
      </c>
      <c r="Q1071" s="22">
        <f t="shared" si="49"/>
        <v>3279</v>
      </c>
      <c r="R1071" s="22">
        <f t="shared" si="50"/>
        <v>3280</v>
      </c>
    </row>
    <row r="1072" spans="1:18" x14ac:dyDescent="0.2">
      <c r="A1072" s="567">
        <v>994</v>
      </c>
      <c r="B1072" s="568" t="s">
        <v>482</v>
      </c>
      <c r="C1072" s="568" t="s">
        <v>483</v>
      </c>
      <c r="D1072" s="567">
        <v>2578</v>
      </c>
      <c r="E1072" s="567">
        <v>15</v>
      </c>
      <c r="F1072" s="567">
        <v>14</v>
      </c>
      <c r="G1072" s="567">
        <v>135</v>
      </c>
      <c r="H1072" s="567">
        <v>1140</v>
      </c>
      <c r="O1072" s="568" t="s">
        <v>2079</v>
      </c>
      <c r="P1072" s="22">
        <f t="shared" si="48"/>
        <v>1</v>
      </c>
      <c r="Q1072" s="22">
        <f t="shared" si="49"/>
        <v>3281</v>
      </c>
      <c r="R1072" s="22">
        <f t="shared" si="50"/>
        <v>3281</v>
      </c>
    </row>
    <row r="1073" spans="1:18" x14ac:dyDescent="0.2">
      <c r="A1073" s="567">
        <v>995</v>
      </c>
      <c r="B1073" s="568" t="s">
        <v>482</v>
      </c>
      <c r="C1073" s="568" t="s">
        <v>111</v>
      </c>
      <c r="D1073" s="567">
        <v>2579</v>
      </c>
      <c r="E1073" s="567">
        <v>15</v>
      </c>
      <c r="F1073" s="567">
        <v>14</v>
      </c>
      <c r="G1073" s="567">
        <v>135</v>
      </c>
      <c r="H1073" s="567">
        <v>1140</v>
      </c>
      <c r="O1073" s="568" t="s">
        <v>1578</v>
      </c>
      <c r="P1073" s="22">
        <f t="shared" si="48"/>
        <v>1</v>
      </c>
      <c r="Q1073" s="22">
        <f t="shared" si="49"/>
        <v>3282</v>
      </c>
      <c r="R1073" s="22">
        <f t="shared" si="50"/>
        <v>3282</v>
      </c>
    </row>
    <row r="1074" spans="1:18" x14ac:dyDescent="0.2">
      <c r="A1074" s="567">
        <v>992</v>
      </c>
      <c r="B1074" s="568" t="s">
        <v>482</v>
      </c>
      <c r="C1074" s="568" t="s">
        <v>488</v>
      </c>
      <c r="D1074" s="567">
        <v>2576</v>
      </c>
      <c r="E1074" s="567">
        <v>15</v>
      </c>
      <c r="F1074" s="567">
        <v>14</v>
      </c>
      <c r="G1074" s="567">
        <v>135</v>
      </c>
      <c r="H1074" s="567">
        <v>1140</v>
      </c>
      <c r="O1074" s="568" t="s">
        <v>2068</v>
      </c>
      <c r="P1074" s="22">
        <f t="shared" si="48"/>
        <v>1</v>
      </c>
      <c r="Q1074" s="22">
        <f t="shared" si="49"/>
        <v>3283</v>
      </c>
      <c r="R1074" s="22">
        <f t="shared" si="50"/>
        <v>3283</v>
      </c>
    </row>
    <row r="1075" spans="1:18" x14ac:dyDescent="0.2">
      <c r="A1075" s="567">
        <v>991</v>
      </c>
      <c r="B1075" s="568" t="s">
        <v>482</v>
      </c>
      <c r="C1075" s="568" t="s">
        <v>482</v>
      </c>
      <c r="D1075" s="567">
        <v>2575</v>
      </c>
      <c r="E1075" s="567">
        <v>15</v>
      </c>
      <c r="F1075" s="567">
        <v>14</v>
      </c>
      <c r="G1075" s="567">
        <v>135</v>
      </c>
      <c r="H1075" s="567">
        <v>1140</v>
      </c>
      <c r="O1075" s="568" t="s">
        <v>1056</v>
      </c>
      <c r="P1075" s="22">
        <f t="shared" si="48"/>
        <v>1</v>
      </c>
      <c r="Q1075" s="22">
        <f t="shared" si="49"/>
        <v>3284</v>
      </c>
      <c r="R1075" s="22">
        <f t="shared" si="50"/>
        <v>3284</v>
      </c>
    </row>
    <row r="1076" spans="1:18" x14ac:dyDescent="0.2">
      <c r="A1076" s="567">
        <v>1002</v>
      </c>
      <c r="B1076" s="568" t="s">
        <v>480</v>
      </c>
      <c r="C1076" s="568" t="s">
        <v>479</v>
      </c>
      <c r="D1076" s="567">
        <v>2597</v>
      </c>
      <c r="E1076" s="567">
        <v>16</v>
      </c>
      <c r="F1076" s="567">
        <v>13</v>
      </c>
      <c r="G1076" s="567">
        <v>135</v>
      </c>
      <c r="H1076" s="567">
        <v>1140</v>
      </c>
      <c r="O1076" s="568" t="s">
        <v>447</v>
      </c>
      <c r="P1076" s="22">
        <f t="shared" si="48"/>
        <v>1</v>
      </c>
      <c r="Q1076" s="22">
        <f t="shared" si="49"/>
        <v>3285</v>
      </c>
      <c r="R1076" s="22">
        <f t="shared" si="50"/>
        <v>3285</v>
      </c>
    </row>
    <row r="1077" spans="1:18" x14ac:dyDescent="0.2">
      <c r="A1077" s="567">
        <v>1003</v>
      </c>
      <c r="B1077" s="568" t="s">
        <v>480</v>
      </c>
      <c r="C1077" s="568" t="s">
        <v>491</v>
      </c>
      <c r="D1077" s="567">
        <v>2598</v>
      </c>
      <c r="E1077" s="567">
        <v>16</v>
      </c>
      <c r="F1077" s="567">
        <v>13</v>
      </c>
      <c r="G1077" s="567">
        <v>135</v>
      </c>
      <c r="H1077" s="567">
        <v>1140</v>
      </c>
      <c r="O1077" s="568" t="s">
        <v>2040</v>
      </c>
      <c r="P1077" s="22">
        <f t="shared" si="48"/>
        <v>1</v>
      </c>
      <c r="Q1077" s="22">
        <f t="shared" si="49"/>
        <v>3286</v>
      </c>
      <c r="R1077" s="22">
        <f t="shared" si="50"/>
        <v>3286</v>
      </c>
    </row>
    <row r="1078" spans="1:18" x14ac:dyDescent="0.2">
      <c r="A1078" s="567">
        <v>1004</v>
      </c>
      <c r="B1078" s="568" t="s">
        <v>480</v>
      </c>
      <c r="C1078" s="568" t="s">
        <v>313</v>
      </c>
      <c r="D1078" s="567">
        <v>2599</v>
      </c>
      <c r="E1078" s="567">
        <v>16</v>
      </c>
      <c r="F1078" s="567">
        <v>13</v>
      </c>
      <c r="G1078" s="567">
        <v>135</v>
      </c>
      <c r="H1078" s="567">
        <v>1140</v>
      </c>
      <c r="O1078" s="568" t="s">
        <v>1447</v>
      </c>
      <c r="P1078" s="22">
        <f t="shared" si="48"/>
        <v>3</v>
      </c>
      <c r="Q1078" s="22">
        <f t="shared" si="49"/>
        <v>3287</v>
      </c>
      <c r="R1078" s="22">
        <f t="shared" si="50"/>
        <v>3289</v>
      </c>
    </row>
    <row r="1079" spans="1:18" x14ac:dyDescent="0.2">
      <c r="A1079" s="567">
        <v>1000</v>
      </c>
      <c r="B1079" s="568" t="s">
        <v>480</v>
      </c>
      <c r="C1079" s="568" t="s">
        <v>497</v>
      </c>
      <c r="D1079" s="567">
        <v>2595</v>
      </c>
      <c r="E1079" s="567">
        <v>16</v>
      </c>
      <c r="F1079" s="567">
        <v>13</v>
      </c>
      <c r="G1079" s="567">
        <v>135</v>
      </c>
      <c r="H1079" s="567">
        <v>1140</v>
      </c>
      <c r="O1079" s="568" t="s">
        <v>1653</v>
      </c>
      <c r="P1079" s="22">
        <f t="shared" si="48"/>
        <v>3</v>
      </c>
      <c r="Q1079" s="22">
        <f t="shared" si="49"/>
        <v>3290</v>
      </c>
      <c r="R1079" s="22">
        <f t="shared" si="50"/>
        <v>3292</v>
      </c>
    </row>
    <row r="1080" spans="1:18" x14ac:dyDescent="0.2">
      <c r="A1080" s="567">
        <v>1001</v>
      </c>
      <c r="B1080" s="568" t="s">
        <v>480</v>
      </c>
      <c r="C1080" s="568" t="s">
        <v>499</v>
      </c>
      <c r="D1080" s="567">
        <v>2596</v>
      </c>
      <c r="E1080" s="567">
        <v>16</v>
      </c>
      <c r="F1080" s="567">
        <v>13</v>
      </c>
      <c r="G1080" s="567">
        <v>135</v>
      </c>
      <c r="H1080" s="567">
        <v>1140</v>
      </c>
      <c r="O1080" s="568" t="s">
        <v>1694</v>
      </c>
      <c r="P1080" s="22">
        <f t="shared" si="48"/>
        <v>5</v>
      </c>
      <c r="Q1080" s="22">
        <f t="shared" si="49"/>
        <v>3293</v>
      </c>
      <c r="R1080" s="22">
        <f t="shared" si="50"/>
        <v>3297</v>
      </c>
    </row>
    <row r="1081" spans="1:18" x14ac:dyDescent="0.2">
      <c r="A1081" s="567">
        <v>840</v>
      </c>
      <c r="B1081" s="568" t="s">
        <v>470</v>
      </c>
      <c r="C1081" s="568" t="s">
        <v>469</v>
      </c>
      <c r="D1081" s="567">
        <v>2100</v>
      </c>
      <c r="E1081" s="567">
        <v>25</v>
      </c>
      <c r="F1081" s="567">
        <v>18</v>
      </c>
      <c r="G1081" s="567">
        <v>117</v>
      </c>
      <c r="H1081" s="567">
        <v>1130</v>
      </c>
      <c r="O1081" s="568" t="s">
        <v>2786</v>
      </c>
      <c r="P1081" s="22">
        <f t="shared" si="48"/>
        <v>5</v>
      </c>
      <c r="Q1081" s="22">
        <f t="shared" si="49"/>
        <v>3298</v>
      </c>
      <c r="R1081" s="22">
        <f t="shared" si="50"/>
        <v>3302</v>
      </c>
    </row>
    <row r="1082" spans="1:18" x14ac:dyDescent="0.2">
      <c r="A1082" s="567">
        <v>1614</v>
      </c>
      <c r="B1082" s="568" t="s">
        <v>1232</v>
      </c>
      <c r="C1082" s="568" t="s">
        <v>1232</v>
      </c>
      <c r="D1082" s="567">
        <v>4450</v>
      </c>
      <c r="E1082" s="567">
        <v>30</v>
      </c>
      <c r="F1082" s="567">
        <v>17</v>
      </c>
      <c r="G1082" s="567">
        <v>237</v>
      </c>
      <c r="H1082" s="567">
        <v>2110</v>
      </c>
      <c r="O1082" s="568" t="s">
        <v>1364</v>
      </c>
      <c r="P1082" s="22">
        <f t="shared" si="48"/>
        <v>1</v>
      </c>
      <c r="Q1082" s="22">
        <f t="shared" si="49"/>
        <v>3303</v>
      </c>
      <c r="R1082" s="22">
        <f t="shared" si="50"/>
        <v>3303</v>
      </c>
    </row>
    <row r="1083" spans="1:18" x14ac:dyDescent="0.2">
      <c r="A1083" s="567">
        <v>1616</v>
      </c>
      <c r="B1083" s="568" t="s">
        <v>1232</v>
      </c>
      <c r="C1083" s="568" t="s">
        <v>1233</v>
      </c>
      <c r="D1083" s="567">
        <v>4452</v>
      </c>
      <c r="E1083" s="567">
        <v>30</v>
      </c>
      <c r="F1083" s="567">
        <v>17</v>
      </c>
      <c r="G1083" s="567">
        <v>237</v>
      </c>
      <c r="H1083" s="567">
        <v>2110</v>
      </c>
      <c r="O1083" s="568" t="s">
        <v>2250</v>
      </c>
      <c r="P1083" s="22">
        <f t="shared" si="48"/>
        <v>5</v>
      </c>
      <c r="Q1083" s="22">
        <f t="shared" si="49"/>
        <v>3304</v>
      </c>
      <c r="R1083" s="22">
        <f t="shared" si="50"/>
        <v>3308</v>
      </c>
    </row>
    <row r="1084" spans="1:18" x14ac:dyDescent="0.2">
      <c r="A1084" s="567">
        <v>1615</v>
      </c>
      <c r="B1084" s="568" t="s">
        <v>1232</v>
      </c>
      <c r="C1084" s="568" t="s">
        <v>1238</v>
      </c>
      <c r="D1084" s="567">
        <v>4451</v>
      </c>
      <c r="E1084" s="567">
        <v>30</v>
      </c>
      <c r="F1084" s="567">
        <v>17</v>
      </c>
      <c r="G1084" s="567">
        <v>237</v>
      </c>
      <c r="H1084" s="567">
        <v>2110</v>
      </c>
      <c r="O1084" s="568" t="s">
        <v>1576</v>
      </c>
      <c r="P1084" s="22">
        <f t="shared" si="48"/>
        <v>1</v>
      </c>
      <c r="Q1084" s="22">
        <f t="shared" si="49"/>
        <v>3309</v>
      </c>
      <c r="R1084" s="22">
        <f t="shared" si="50"/>
        <v>3309</v>
      </c>
    </row>
    <row r="1085" spans="1:18" x14ac:dyDescent="0.2">
      <c r="A1085" s="567">
        <v>1904</v>
      </c>
      <c r="B1085" s="568" t="s">
        <v>1938</v>
      </c>
      <c r="C1085" s="568" t="s">
        <v>1937</v>
      </c>
      <c r="D1085" s="567">
        <v>5352</v>
      </c>
      <c r="E1085" s="567">
        <v>41</v>
      </c>
      <c r="F1085" s="567">
        <v>5</v>
      </c>
      <c r="G1085" s="567">
        <v>315</v>
      </c>
      <c r="H1085" s="567">
        <v>3120</v>
      </c>
      <c r="O1085" s="568" t="s">
        <v>1809</v>
      </c>
      <c r="P1085" s="22">
        <f t="shared" si="48"/>
        <v>2</v>
      </c>
      <c r="Q1085" s="22">
        <f t="shared" si="49"/>
        <v>3310</v>
      </c>
      <c r="R1085" s="22">
        <f t="shared" si="50"/>
        <v>3311</v>
      </c>
    </row>
    <row r="1086" spans="1:18" x14ac:dyDescent="0.2">
      <c r="A1086" s="567">
        <v>1905</v>
      </c>
      <c r="B1086" s="568" t="s">
        <v>1938</v>
      </c>
      <c r="C1086" s="568" t="s">
        <v>1946</v>
      </c>
      <c r="D1086" s="567">
        <v>5353</v>
      </c>
      <c r="E1086" s="567">
        <v>41</v>
      </c>
      <c r="F1086" s="567">
        <v>5</v>
      </c>
      <c r="G1086" s="567">
        <v>315</v>
      </c>
      <c r="H1086" s="567">
        <v>3120</v>
      </c>
      <c r="O1086" s="568" t="s">
        <v>182</v>
      </c>
      <c r="P1086" s="22">
        <f t="shared" si="48"/>
        <v>8</v>
      </c>
      <c r="Q1086" s="22">
        <f t="shared" si="49"/>
        <v>3312</v>
      </c>
      <c r="R1086" s="22">
        <f t="shared" si="50"/>
        <v>3319</v>
      </c>
    </row>
    <row r="1087" spans="1:18" x14ac:dyDescent="0.2">
      <c r="A1087" s="567">
        <v>1903</v>
      </c>
      <c r="B1087" s="568" t="s">
        <v>1938</v>
      </c>
      <c r="C1087" s="568" t="s">
        <v>1948</v>
      </c>
      <c r="D1087" s="567">
        <v>5351</v>
      </c>
      <c r="E1087" s="567">
        <v>41</v>
      </c>
      <c r="F1087" s="567">
        <v>5</v>
      </c>
      <c r="G1087" s="567">
        <v>315</v>
      </c>
      <c r="H1087" s="567">
        <v>3120</v>
      </c>
      <c r="O1087" s="568" t="s">
        <v>202</v>
      </c>
      <c r="P1087" s="22">
        <f t="shared" si="48"/>
        <v>1</v>
      </c>
      <c r="Q1087" s="22">
        <f t="shared" si="49"/>
        <v>3320</v>
      </c>
      <c r="R1087" s="22">
        <f t="shared" si="50"/>
        <v>3320</v>
      </c>
    </row>
    <row r="1088" spans="1:18" x14ac:dyDescent="0.2">
      <c r="A1088" s="567">
        <v>1902</v>
      </c>
      <c r="B1088" s="568" t="s">
        <v>1938</v>
      </c>
      <c r="C1088" s="568" t="s">
        <v>1949</v>
      </c>
      <c r="D1088" s="567">
        <v>5350</v>
      </c>
      <c r="E1088" s="567">
        <v>41</v>
      </c>
      <c r="F1088" s="567">
        <v>5</v>
      </c>
      <c r="G1088" s="567">
        <v>315</v>
      </c>
      <c r="H1088" s="567">
        <v>3120</v>
      </c>
      <c r="O1088" s="568" t="s">
        <v>2632</v>
      </c>
      <c r="P1088" s="22">
        <f t="shared" si="48"/>
        <v>3</v>
      </c>
      <c r="Q1088" s="22">
        <f t="shared" si="49"/>
        <v>3321</v>
      </c>
      <c r="R1088" s="22">
        <f t="shared" si="50"/>
        <v>3323</v>
      </c>
    </row>
    <row r="1089" spans="1:18" x14ac:dyDescent="0.2">
      <c r="A1089" s="567">
        <v>913</v>
      </c>
      <c r="B1089" s="568" t="s">
        <v>72</v>
      </c>
      <c r="C1089" s="568" t="s">
        <v>72</v>
      </c>
      <c r="D1089" s="567">
        <v>2360</v>
      </c>
      <c r="E1089" s="567">
        <v>24</v>
      </c>
      <c r="F1089" s="567">
        <v>18</v>
      </c>
      <c r="G1089" s="567">
        <v>136</v>
      </c>
      <c r="H1089" s="567">
        <v>1101</v>
      </c>
      <c r="O1089" s="568" t="s">
        <v>349</v>
      </c>
      <c r="P1089" s="22">
        <f t="shared" si="48"/>
        <v>4</v>
      </c>
      <c r="Q1089" s="22">
        <f t="shared" si="49"/>
        <v>3324</v>
      </c>
      <c r="R1089" s="22">
        <f t="shared" si="50"/>
        <v>3327</v>
      </c>
    </row>
    <row r="1090" spans="1:18" x14ac:dyDescent="0.2">
      <c r="A1090" s="567">
        <v>2686</v>
      </c>
      <c r="B1090" s="568" t="s">
        <v>2885</v>
      </c>
      <c r="C1090" s="568" t="s">
        <v>2884</v>
      </c>
      <c r="D1090" s="567">
        <v>7741</v>
      </c>
      <c r="E1090" s="567">
        <v>27</v>
      </c>
      <c r="F1090" s="567">
        <v>14</v>
      </c>
      <c r="G1090" s="567">
        <v>415</v>
      </c>
      <c r="H1090" s="567">
        <v>4131</v>
      </c>
      <c r="O1090" s="568" t="s">
        <v>2019</v>
      </c>
      <c r="P1090" s="22">
        <f t="shared" si="48"/>
        <v>1</v>
      </c>
      <c r="Q1090" s="22">
        <f t="shared" si="49"/>
        <v>3328</v>
      </c>
      <c r="R1090" s="22">
        <f t="shared" si="50"/>
        <v>3328</v>
      </c>
    </row>
    <row r="1091" spans="1:18" x14ac:dyDescent="0.2">
      <c r="A1091" s="567">
        <v>2687</v>
      </c>
      <c r="B1091" s="568" t="s">
        <v>2885</v>
      </c>
      <c r="C1091" s="568" t="s">
        <v>2886</v>
      </c>
      <c r="D1091" s="567">
        <v>7742</v>
      </c>
      <c r="E1091" s="567">
        <v>27</v>
      </c>
      <c r="F1091" s="567">
        <v>14</v>
      </c>
      <c r="G1091" s="567">
        <v>415</v>
      </c>
      <c r="H1091" s="567">
        <v>4131</v>
      </c>
      <c r="O1091" s="568" t="s">
        <v>1912</v>
      </c>
      <c r="P1091" s="22">
        <f t="shared" si="48"/>
        <v>1</v>
      </c>
      <c r="Q1091" s="22">
        <f t="shared" si="49"/>
        <v>3329</v>
      </c>
      <c r="R1091" s="22">
        <f t="shared" si="50"/>
        <v>3329</v>
      </c>
    </row>
    <row r="1092" spans="1:18" x14ac:dyDescent="0.2">
      <c r="A1092" s="567">
        <v>2685</v>
      </c>
      <c r="B1092" s="568" t="s">
        <v>2885</v>
      </c>
      <c r="C1092" s="568" t="s">
        <v>2885</v>
      </c>
      <c r="D1092" s="567">
        <v>7740</v>
      </c>
      <c r="E1092" s="567">
        <v>27</v>
      </c>
      <c r="F1092" s="567">
        <v>14</v>
      </c>
      <c r="G1092" s="567">
        <v>415</v>
      </c>
      <c r="H1092" s="567">
        <v>4131</v>
      </c>
      <c r="O1092" s="568" t="s">
        <v>2168</v>
      </c>
      <c r="P1092" s="22">
        <f t="shared" si="48"/>
        <v>3</v>
      </c>
      <c r="Q1092" s="22">
        <f t="shared" si="49"/>
        <v>3330</v>
      </c>
      <c r="R1092" s="22">
        <f t="shared" si="50"/>
        <v>3332</v>
      </c>
    </row>
    <row r="1093" spans="1:18" x14ac:dyDescent="0.2">
      <c r="A1093" s="567">
        <v>2628</v>
      </c>
      <c r="B1093" s="568" t="s">
        <v>3000</v>
      </c>
      <c r="C1093" s="568" t="s">
        <v>2300</v>
      </c>
      <c r="D1093" s="567">
        <v>7541</v>
      </c>
      <c r="E1093" s="567">
        <v>15</v>
      </c>
      <c r="F1093" s="567">
        <v>18</v>
      </c>
      <c r="G1093" s="567">
        <v>416</v>
      </c>
      <c r="H1093" s="567">
        <v>4140</v>
      </c>
      <c r="O1093" s="568" t="s">
        <v>2807</v>
      </c>
      <c r="P1093" s="22">
        <f t="shared" si="48"/>
        <v>1</v>
      </c>
      <c r="Q1093" s="22">
        <f t="shared" si="49"/>
        <v>3333</v>
      </c>
      <c r="R1093" s="22">
        <f t="shared" si="50"/>
        <v>3333</v>
      </c>
    </row>
    <row r="1094" spans="1:18" x14ac:dyDescent="0.2">
      <c r="A1094" s="567">
        <v>2627</v>
      </c>
      <c r="B1094" s="568" t="s">
        <v>3000</v>
      </c>
      <c r="C1094" s="568" t="s">
        <v>3000</v>
      </c>
      <c r="D1094" s="567">
        <v>7540</v>
      </c>
      <c r="E1094" s="567">
        <v>15</v>
      </c>
      <c r="F1094" s="567">
        <v>18</v>
      </c>
      <c r="G1094" s="567">
        <v>416</v>
      </c>
      <c r="H1094" s="567">
        <v>4140</v>
      </c>
      <c r="O1094" s="568" t="s">
        <v>828</v>
      </c>
      <c r="P1094" s="22">
        <f t="shared" si="48"/>
        <v>1</v>
      </c>
      <c r="Q1094" s="22">
        <f t="shared" si="49"/>
        <v>3334</v>
      </c>
      <c r="R1094" s="22">
        <f t="shared" si="50"/>
        <v>3334</v>
      </c>
    </row>
    <row r="1095" spans="1:18" x14ac:dyDescent="0.2">
      <c r="A1095" s="567">
        <v>1302</v>
      </c>
      <c r="B1095" s="568" t="s">
        <v>1353</v>
      </c>
      <c r="C1095" s="568" t="s">
        <v>1353</v>
      </c>
      <c r="D1095" s="567">
        <v>3520</v>
      </c>
      <c r="E1095" s="567">
        <v>25</v>
      </c>
      <c r="F1095" s="567">
        <v>2</v>
      </c>
      <c r="G1095" s="567">
        <v>215</v>
      </c>
      <c r="H1095" s="567">
        <v>2121</v>
      </c>
      <c r="O1095" s="568" t="s">
        <v>1025</v>
      </c>
      <c r="P1095" s="22">
        <f t="shared" si="48"/>
        <v>1</v>
      </c>
      <c r="Q1095" s="22">
        <f t="shared" si="49"/>
        <v>3335</v>
      </c>
      <c r="R1095" s="22">
        <f t="shared" si="50"/>
        <v>3335</v>
      </c>
    </row>
    <row r="1096" spans="1:18" x14ac:dyDescent="0.2">
      <c r="A1096" s="567">
        <v>825</v>
      </c>
      <c r="B1096" s="568" t="s">
        <v>455</v>
      </c>
      <c r="C1096" s="568" t="s">
        <v>455</v>
      </c>
      <c r="D1096" s="567">
        <v>2050</v>
      </c>
      <c r="E1096" s="567">
        <v>26</v>
      </c>
      <c r="F1096" s="567">
        <v>18</v>
      </c>
      <c r="G1096" s="567">
        <v>117</v>
      </c>
      <c r="H1096" s="567">
        <v>1130</v>
      </c>
      <c r="O1096" s="568" t="s">
        <v>2802</v>
      </c>
      <c r="P1096" s="22">
        <f t="shared" si="48"/>
        <v>1</v>
      </c>
      <c r="Q1096" s="22">
        <f t="shared" si="49"/>
        <v>3336</v>
      </c>
      <c r="R1096" s="22">
        <f t="shared" si="50"/>
        <v>3336</v>
      </c>
    </row>
    <row r="1097" spans="1:18" x14ac:dyDescent="0.2">
      <c r="A1097" s="567">
        <v>826</v>
      </c>
      <c r="B1097" s="568" t="s">
        <v>455</v>
      </c>
      <c r="C1097" s="568" t="s">
        <v>456</v>
      </c>
      <c r="D1097" s="567">
        <v>2051</v>
      </c>
      <c r="E1097" s="567">
        <v>26</v>
      </c>
      <c r="F1097" s="567">
        <v>18</v>
      </c>
      <c r="G1097" s="567">
        <v>117</v>
      </c>
      <c r="H1097" s="567">
        <v>1130</v>
      </c>
      <c r="O1097" s="568" t="s">
        <v>1236</v>
      </c>
      <c r="P1097" s="22">
        <f t="shared" si="48"/>
        <v>1</v>
      </c>
      <c r="Q1097" s="22">
        <f t="shared" si="49"/>
        <v>3337</v>
      </c>
      <c r="R1097" s="22">
        <f t="shared" si="50"/>
        <v>3337</v>
      </c>
    </row>
    <row r="1098" spans="1:18" x14ac:dyDescent="0.2">
      <c r="A1098" s="567">
        <v>827</v>
      </c>
      <c r="B1098" s="568" t="s">
        <v>455</v>
      </c>
      <c r="C1098" s="568" t="s">
        <v>457</v>
      </c>
      <c r="D1098" s="567">
        <v>2052</v>
      </c>
      <c r="E1098" s="567">
        <v>26</v>
      </c>
      <c r="F1098" s="567">
        <v>18</v>
      </c>
      <c r="G1098" s="567">
        <v>117</v>
      </c>
      <c r="H1098" s="567">
        <v>1130</v>
      </c>
      <c r="O1098" s="568" t="s">
        <v>90</v>
      </c>
      <c r="P1098" s="22">
        <f t="shared" si="48"/>
        <v>1</v>
      </c>
      <c r="Q1098" s="22">
        <f t="shared" si="49"/>
        <v>3338</v>
      </c>
      <c r="R1098" s="22">
        <f t="shared" si="50"/>
        <v>3338</v>
      </c>
    </row>
    <row r="1099" spans="1:18" x14ac:dyDescent="0.2">
      <c r="A1099" s="567">
        <v>828</v>
      </c>
      <c r="B1099" s="568" t="s">
        <v>455</v>
      </c>
      <c r="C1099" s="568" t="s">
        <v>458</v>
      </c>
      <c r="D1099" s="567">
        <v>2053</v>
      </c>
      <c r="E1099" s="567">
        <v>26</v>
      </c>
      <c r="F1099" s="567">
        <v>18</v>
      </c>
      <c r="G1099" s="567">
        <v>117</v>
      </c>
      <c r="H1099" s="567">
        <v>1130</v>
      </c>
      <c r="O1099" s="568" t="s">
        <v>1594</v>
      </c>
      <c r="P1099" s="22">
        <f t="shared" si="48"/>
        <v>1</v>
      </c>
      <c r="Q1099" s="22">
        <f t="shared" si="49"/>
        <v>3339</v>
      </c>
      <c r="R1099" s="22">
        <f t="shared" si="50"/>
        <v>3339</v>
      </c>
    </row>
    <row r="1100" spans="1:18" x14ac:dyDescent="0.2">
      <c r="A1100" s="567">
        <v>829</v>
      </c>
      <c r="B1100" s="568" t="s">
        <v>455</v>
      </c>
      <c r="C1100" s="568" t="s">
        <v>459</v>
      </c>
      <c r="D1100" s="567">
        <v>2054</v>
      </c>
      <c r="E1100" s="567">
        <v>26</v>
      </c>
      <c r="F1100" s="567">
        <v>18</v>
      </c>
      <c r="G1100" s="567">
        <v>117</v>
      </c>
      <c r="H1100" s="567">
        <v>1130</v>
      </c>
      <c r="O1100" s="568" t="s">
        <v>2434</v>
      </c>
      <c r="P1100" s="22">
        <f t="shared" si="48"/>
        <v>1</v>
      </c>
      <c r="Q1100" s="22">
        <f t="shared" si="49"/>
        <v>3340</v>
      </c>
      <c r="R1100" s="22">
        <f t="shared" si="50"/>
        <v>3340</v>
      </c>
    </row>
    <row r="1101" spans="1:18" x14ac:dyDescent="0.2">
      <c r="A1101" s="567">
        <v>2384</v>
      </c>
      <c r="B1101" s="568" t="s">
        <v>2567</v>
      </c>
      <c r="C1101" s="568" t="s">
        <v>2566</v>
      </c>
      <c r="D1101" s="567">
        <v>6856</v>
      </c>
      <c r="E1101" s="567">
        <v>38</v>
      </c>
      <c r="F1101" s="567">
        <v>7</v>
      </c>
      <c r="G1101" s="567">
        <v>337</v>
      </c>
      <c r="H1101" s="567">
        <v>3180</v>
      </c>
      <c r="O1101" s="568" t="s">
        <v>595</v>
      </c>
      <c r="P1101" s="22">
        <f t="shared" si="48"/>
        <v>5</v>
      </c>
      <c r="Q1101" s="22">
        <f t="shared" si="49"/>
        <v>3341</v>
      </c>
      <c r="R1101" s="22">
        <f t="shared" si="50"/>
        <v>3345</v>
      </c>
    </row>
    <row r="1102" spans="1:18" x14ac:dyDescent="0.2">
      <c r="A1102" s="567">
        <v>2385</v>
      </c>
      <c r="B1102" s="568" t="s">
        <v>2567</v>
      </c>
      <c r="C1102" s="568" t="s">
        <v>2568</v>
      </c>
      <c r="D1102" s="567">
        <v>6857</v>
      </c>
      <c r="E1102" s="567">
        <v>38</v>
      </c>
      <c r="F1102" s="567">
        <v>7</v>
      </c>
      <c r="G1102" s="567">
        <v>337</v>
      </c>
      <c r="H1102" s="567">
        <v>3180</v>
      </c>
      <c r="O1102" s="568" t="s">
        <v>2555</v>
      </c>
      <c r="P1102" s="22">
        <f t="shared" si="48"/>
        <v>3</v>
      </c>
      <c r="Q1102" s="22">
        <f t="shared" si="49"/>
        <v>3346</v>
      </c>
      <c r="R1102" s="22">
        <f t="shared" si="50"/>
        <v>3348</v>
      </c>
    </row>
    <row r="1103" spans="1:18" x14ac:dyDescent="0.2">
      <c r="A1103" s="567">
        <v>2386</v>
      </c>
      <c r="B1103" s="568" t="s">
        <v>2567</v>
      </c>
      <c r="C1103" s="568" t="s">
        <v>2569</v>
      </c>
      <c r="D1103" s="567">
        <v>6858</v>
      </c>
      <c r="E1103" s="567">
        <v>38</v>
      </c>
      <c r="F1103" s="567">
        <v>7</v>
      </c>
      <c r="G1103" s="567">
        <v>337</v>
      </c>
      <c r="H1103" s="567">
        <v>3180</v>
      </c>
      <c r="O1103" s="568" t="s">
        <v>2482</v>
      </c>
      <c r="P1103" s="22">
        <f t="shared" ref="P1103:P1115" si="51">COUNTIF($B$13:$B$3400,O1103)</f>
        <v>5</v>
      </c>
      <c r="Q1103" s="22">
        <f t="shared" si="49"/>
        <v>3349</v>
      </c>
      <c r="R1103" s="22">
        <f t="shared" si="50"/>
        <v>3353</v>
      </c>
    </row>
    <row r="1104" spans="1:18" x14ac:dyDescent="0.2">
      <c r="A1104" s="567">
        <v>2383</v>
      </c>
      <c r="B1104" s="568" t="s">
        <v>2567</v>
      </c>
      <c r="C1104" s="568" t="s">
        <v>2572</v>
      </c>
      <c r="D1104" s="567">
        <v>6855</v>
      </c>
      <c r="E1104" s="567">
        <v>38</v>
      </c>
      <c r="F1104" s="567">
        <v>7</v>
      </c>
      <c r="G1104" s="567">
        <v>337</v>
      </c>
      <c r="H1104" s="567">
        <v>3180</v>
      </c>
      <c r="O1104" s="568" t="s">
        <v>1851</v>
      </c>
      <c r="P1104" s="22">
        <f t="shared" si="51"/>
        <v>1</v>
      </c>
      <c r="Q1104" s="22">
        <f t="shared" si="49"/>
        <v>3354</v>
      </c>
      <c r="R1104" s="22">
        <f t="shared" si="50"/>
        <v>3354</v>
      </c>
    </row>
    <row r="1105" spans="1:18" x14ac:dyDescent="0.2">
      <c r="A1105" s="567">
        <v>2382</v>
      </c>
      <c r="B1105" s="568" t="s">
        <v>2567</v>
      </c>
      <c r="C1105" s="568" t="s">
        <v>2585</v>
      </c>
      <c r="D1105" s="567">
        <v>6854</v>
      </c>
      <c r="E1105" s="567">
        <v>38</v>
      </c>
      <c r="F1105" s="567">
        <v>7</v>
      </c>
      <c r="G1105" s="567">
        <v>337</v>
      </c>
      <c r="H1105" s="567">
        <v>3180</v>
      </c>
      <c r="O1105" s="568" t="s">
        <v>524</v>
      </c>
      <c r="P1105" s="22">
        <f t="shared" si="51"/>
        <v>4</v>
      </c>
      <c r="Q1105" s="22">
        <f t="shared" ref="Q1105:Q1115" si="52">R1104+1</f>
        <v>3355</v>
      </c>
      <c r="R1105" s="22">
        <f t="shared" ref="R1105:R1115" si="53">R1104+P1105</f>
        <v>3358</v>
      </c>
    </row>
    <row r="1106" spans="1:18" x14ac:dyDescent="0.2">
      <c r="A1106" s="567">
        <v>2379</v>
      </c>
      <c r="B1106" s="568" t="s">
        <v>2567</v>
      </c>
      <c r="C1106" s="568" t="s">
        <v>2589</v>
      </c>
      <c r="D1106" s="567">
        <v>6851</v>
      </c>
      <c r="E1106" s="567">
        <v>38</v>
      </c>
      <c r="F1106" s="567">
        <v>7</v>
      </c>
      <c r="G1106" s="567">
        <v>337</v>
      </c>
      <c r="H1106" s="567">
        <v>3180</v>
      </c>
      <c r="O1106" s="568" t="s">
        <v>904</v>
      </c>
      <c r="P1106" s="22">
        <f t="shared" si="51"/>
        <v>1</v>
      </c>
      <c r="Q1106" s="22">
        <f t="shared" si="52"/>
        <v>3359</v>
      </c>
      <c r="R1106" s="22">
        <f t="shared" si="53"/>
        <v>3359</v>
      </c>
    </row>
    <row r="1107" spans="1:18" x14ac:dyDescent="0.2">
      <c r="A1107" s="567">
        <v>2381</v>
      </c>
      <c r="B1107" s="568" t="s">
        <v>2567</v>
      </c>
      <c r="C1107" s="568" t="s">
        <v>2592</v>
      </c>
      <c r="D1107" s="567">
        <v>6853</v>
      </c>
      <c r="E1107" s="567">
        <v>38</v>
      </c>
      <c r="F1107" s="567">
        <v>7</v>
      </c>
      <c r="G1107" s="567">
        <v>337</v>
      </c>
      <c r="H1107" s="567">
        <v>3180</v>
      </c>
      <c r="O1107" s="568" t="s">
        <v>2149</v>
      </c>
      <c r="P1107" s="22">
        <f t="shared" si="51"/>
        <v>4</v>
      </c>
      <c r="Q1107" s="22">
        <f t="shared" si="52"/>
        <v>3360</v>
      </c>
      <c r="R1107" s="22">
        <f t="shared" si="53"/>
        <v>3363</v>
      </c>
    </row>
    <row r="1108" spans="1:18" x14ac:dyDescent="0.2">
      <c r="A1108" s="567">
        <v>2378</v>
      </c>
      <c r="B1108" s="568" t="s">
        <v>2567</v>
      </c>
      <c r="C1108" s="568" t="s">
        <v>2567</v>
      </c>
      <c r="D1108" s="567">
        <v>6850</v>
      </c>
      <c r="E1108" s="567">
        <v>38</v>
      </c>
      <c r="F1108" s="567">
        <v>7</v>
      </c>
      <c r="G1108" s="567">
        <v>337</v>
      </c>
      <c r="H1108" s="567">
        <v>3180</v>
      </c>
      <c r="O1108" s="568" t="s">
        <v>2093</v>
      </c>
      <c r="P1108" s="22">
        <f t="shared" si="51"/>
        <v>7</v>
      </c>
      <c r="Q1108" s="22">
        <f t="shared" si="52"/>
        <v>3364</v>
      </c>
      <c r="R1108" s="22">
        <f t="shared" si="53"/>
        <v>3370</v>
      </c>
    </row>
    <row r="1109" spans="1:18" x14ac:dyDescent="0.2">
      <c r="A1109" s="567">
        <v>2380</v>
      </c>
      <c r="B1109" s="568" t="s">
        <v>2567</v>
      </c>
      <c r="C1109" s="568" t="s">
        <v>2594</v>
      </c>
      <c r="D1109" s="567">
        <v>6852</v>
      </c>
      <c r="E1109" s="567">
        <v>38</v>
      </c>
      <c r="F1109" s="567">
        <v>7</v>
      </c>
      <c r="G1109" s="567">
        <v>337</v>
      </c>
      <c r="H1109" s="567">
        <v>3180</v>
      </c>
      <c r="O1109" s="568" t="s">
        <v>434</v>
      </c>
      <c r="P1109" s="22">
        <f t="shared" si="51"/>
        <v>1</v>
      </c>
      <c r="Q1109" s="22">
        <f t="shared" si="52"/>
        <v>3371</v>
      </c>
      <c r="R1109" s="22">
        <f t="shared" si="53"/>
        <v>3371</v>
      </c>
    </row>
    <row r="1110" spans="1:18" x14ac:dyDescent="0.2">
      <c r="A1110" s="567">
        <v>2175</v>
      </c>
      <c r="B1110" s="568" t="s">
        <v>2442</v>
      </c>
      <c r="C1110" s="568" t="s">
        <v>2442</v>
      </c>
      <c r="D1110" s="567">
        <v>6220</v>
      </c>
      <c r="E1110" s="567">
        <v>19</v>
      </c>
      <c r="F1110" s="567">
        <v>15</v>
      </c>
      <c r="G1110" s="567">
        <v>327</v>
      </c>
      <c r="H1110" s="567">
        <v>3170</v>
      </c>
      <c r="O1110" s="568" t="s">
        <v>2374</v>
      </c>
      <c r="P1110" s="22">
        <f t="shared" si="51"/>
        <v>4</v>
      </c>
      <c r="Q1110" s="22">
        <f t="shared" si="52"/>
        <v>3372</v>
      </c>
      <c r="R1110" s="22">
        <f t="shared" si="53"/>
        <v>3375</v>
      </c>
    </row>
    <row r="1111" spans="1:18" x14ac:dyDescent="0.2">
      <c r="A1111" s="567">
        <v>1886</v>
      </c>
      <c r="B1111" s="568" t="s">
        <v>1936</v>
      </c>
      <c r="C1111" s="568" t="s">
        <v>1936</v>
      </c>
      <c r="D1111" s="567">
        <v>5285</v>
      </c>
      <c r="E1111" s="567">
        <v>43</v>
      </c>
      <c r="F1111" s="567">
        <v>3</v>
      </c>
      <c r="G1111" s="567">
        <v>315</v>
      </c>
      <c r="H1111" s="567">
        <v>3120</v>
      </c>
      <c r="O1111" s="568" t="s">
        <v>2617</v>
      </c>
      <c r="P1111" s="22">
        <f t="shared" si="51"/>
        <v>1</v>
      </c>
      <c r="Q1111" s="22">
        <f t="shared" si="52"/>
        <v>3376</v>
      </c>
      <c r="R1111" s="22">
        <f t="shared" si="53"/>
        <v>3376</v>
      </c>
    </row>
    <row r="1112" spans="1:18" x14ac:dyDescent="0.2">
      <c r="A1112" s="567">
        <v>2284</v>
      </c>
      <c r="B1112" s="568" t="s">
        <v>2339</v>
      </c>
      <c r="C1112" s="568" t="s">
        <v>2339</v>
      </c>
      <c r="D1112" s="567">
        <v>6590</v>
      </c>
      <c r="E1112" s="567">
        <v>28</v>
      </c>
      <c r="F1112" s="567">
        <v>4</v>
      </c>
      <c r="G1112" s="567">
        <v>335</v>
      </c>
      <c r="H1112" s="567">
        <v>3151</v>
      </c>
      <c r="O1112" s="568" t="s">
        <v>1414</v>
      </c>
      <c r="P1112" s="22">
        <f t="shared" si="51"/>
        <v>1</v>
      </c>
      <c r="Q1112" s="22">
        <f t="shared" si="52"/>
        <v>3377</v>
      </c>
      <c r="R1112" s="22">
        <f t="shared" si="53"/>
        <v>3377</v>
      </c>
    </row>
    <row r="1113" spans="1:18" x14ac:dyDescent="0.2">
      <c r="A1113" s="567">
        <v>2285</v>
      </c>
      <c r="B1113" s="568" t="s">
        <v>2339</v>
      </c>
      <c r="C1113" s="568" t="s">
        <v>2340</v>
      </c>
      <c r="D1113" s="567">
        <v>6591</v>
      </c>
      <c r="E1113" s="567">
        <v>28</v>
      </c>
      <c r="F1113" s="567">
        <v>4</v>
      </c>
      <c r="G1113" s="567">
        <v>335</v>
      </c>
      <c r="H1113" s="567">
        <v>3151</v>
      </c>
      <c r="O1113" s="568" t="s">
        <v>919</v>
      </c>
      <c r="P1113" s="22">
        <f t="shared" si="51"/>
        <v>3</v>
      </c>
      <c r="Q1113" s="22">
        <f t="shared" si="52"/>
        <v>3378</v>
      </c>
      <c r="R1113" s="22">
        <f t="shared" si="53"/>
        <v>3380</v>
      </c>
    </row>
    <row r="1114" spans="1:18" x14ac:dyDescent="0.2">
      <c r="A1114" s="567">
        <v>2286</v>
      </c>
      <c r="B1114" s="568" t="s">
        <v>2339</v>
      </c>
      <c r="C1114" s="568" t="s">
        <v>1940</v>
      </c>
      <c r="D1114" s="567">
        <v>6592</v>
      </c>
      <c r="E1114" s="567">
        <v>28</v>
      </c>
      <c r="F1114" s="567">
        <v>4</v>
      </c>
      <c r="G1114" s="567">
        <v>335</v>
      </c>
      <c r="H1114" s="567">
        <v>3151</v>
      </c>
      <c r="O1114" s="568" t="s">
        <v>2920</v>
      </c>
      <c r="P1114" s="22">
        <f t="shared" si="51"/>
        <v>5</v>
      </c>
      <c r="Q1114" s="22">
        <f t="shared" si="52"/>
        <v>3381</v>
      </c>
      <c r="R1114" s="22">
        <f t="shared" si="53"/>
        <v>3385</v>
      </c>
    </row>
    <row r="1115" spans="1:18" x14ac:dyDescent="0.2">
      <c r="A1115" s="567">
        <v>2287</v>
      </c>
      <c r="B1115" s="568" t="s">
        <v>2339</v>
      </c>
      <c r="C1115" s="568" t="s">
        <v>2341</v>
      </c>
      <c r="D1115" s="567">
        <v>6593</v>
      </c>
      <c r="E1115" s="567">
        <v>28</v>
      </c>
      <c r="F1115" s="567">
        <v>4</v>
      </c>
      <c r="G1115" s="567">
        <v>335</v>
      </c>
      <c r="H1115" s="567">
        <v>3151</v>
      </c>
      <c r="O1115" s="568" t="s">
        <v>1468</v>
      </c>
      <c r="P1115" s="22">
        <f t="shared" si="51"/>
        <v>1</v>
      </c>
      <c r="Q1115" s="22">
        <f t="shared" si="52"/>
        <v>3386</v>
      </c>
      <c r="R1115" s="22">
        <f t="shared" si="53"/>
        <v>3386</v>
      </c>
    </row>
    <row r="1116" spans="1:18" x14ac:dyDescent="0.2">
      <c r="A1116" s="567">
        <v>1258</v>
      </c>
      <c r="B1116" s="568" t="s">
        <v>1301</v>
      </c>
      <c r="C1116" s="568" t="s">
        <v>1300</v>
      </c>
      <c r="D1116" s="567">
        <v>3405</v>
      </c>
      <c r="E1116" s="567">
        <v>99</v>
      </c>
      <c r="F1116" s="567">
        <v>3</v>
      </c>
      <c r="G1116" s="567">
        <v>215</v>
      </c>
      <c r="H1116" s="567">
        <v>2121</v>
      </c>
      <c r="O1116"/>
    </row>
    <row r="1117" spans="1:18" x14ac:dyDescent="0.2">
      <c r="A1117" s="567">
        <v>1259</v>
      </c>
      <c r="B1117" s="568" t="s">
        <v>1301</v>
      </c>
      <c r="C1117" s="568" t="s">
        <v>1302</v>
      </c>
      <c r="D1117" s="567">
        <v>3406</v>
      </c>
      <c r="E1117" s="567">
        <v>99</v>
      </c>
      <c r="F1117" s="567">
        <v>3</v>
      </c>
      <c r="G1117" s="567">
        <v>215</v>
      </c>
      <c r="H1117" s="567">
        <v>2121</v>
      </c>
      <c r="O1117"/>
    </row>
    <row r="1118" spans="1:18" x14ac:dyDescent="0.2">
      <c r="A1118" s="567">
        <v>2661</v>
      </c>
      <c r="B1118" s="568" t="s">
        <v>2918</v>
      </c>
      <c r="C1118" s="568" t="s">
        <v>2918</v>
      </c>
      <c r="D1118" s="567">
        <v>7665</v>
      </c>
      <c r="E1118" s="567">
        <v>28</v>
      </c>
      <c r="F1118" s="567">
        <v>14</v>
      </c>
      <c r="G1118" s="567">
        <v>415</v>
      </c>
      <c r="H1118" s="567">
        <v>4131</v>
      </c>
      <c r="O1118"/>
    </row>
    <row r="1119" spans="1:18" x14ac:dyDescent="0.2">
      <c r="A1119" s="567">
        <v>699</v>
      </c>
      <c r="B1119" s="568" t="s">
        <v>655</v>
      </c>
      <c r="C1119" s="568" t="s">
        <v>654</v>
      </c>
      <c r="D1119" s="567">
        <v>1550</v>
      </c>
      <c r="E1119" s="567">
        <v>54</v>
      </c>
      <c r="F1119" s="567">
        <v>17</v>
      </c>
      <c r="G1119" s="567">
        <v>115</v>
      </c>
      <c r="H1119" s="567">
        <v>1161</v>
      </c>
      <c r="O1119"/>
    </row>
    <row r="1120" spans="1:18" x14ac:dyDescent="0.2">
      <c r="A1120" s="567">
        <v>700</v>
      </c>
      <c r="B1120" s="568" t="s">
        <v>655</v>
      </c>
      <c r="C1120" s="568" t="s">
        <v>661</v>
      </c>
      <c r="D1120" s="567">
        <v>1551</v>
      </c>
      <c r="E1120" s="567">
        <v>54</v>
      </c>
      <c r="F1120" s="567">
        <v>17</v>
      </c>
      <c r="G1120" s="567">
        <v>115</v>
      </c>
      <c r="H1120" s="567">
        <v>1161</v>
      </c>
      <c r="O1120"/>
    </row>
    <row r="1121" spans="1:15" x14ac:dyDescent="0.2">
      <c r="A1121" s="567">
        <v>2642</v>
      </c>
      <c r="B1121" s="568" t="s">
        <v>2958</v>
      </c>
      <c r="C1121" s="568" t="s">
        <v>2958</v>
      </c>
      <c r="D1121" s="567">
        <v>7610</v>
      </c>
      <c r="E1121" s="567">
        <v>29</v>
      </c>
      <c r="F1121" s="567">
        <v>18</v>
      </c>
      <c r="G1121" s="567">
        <v>415</v>
      </c>
      <c r="H1121" s="567">
        <v>4131</v>
      </c>
      <c r="O1121"/>
    </row>
    <row r="1122" spans="1:15" x14ac:dyDescent="0.2">
      <c r="A1122" s="567">
        <v>2352</v>
      </c>
      <c r="B1122" s="568" t="s">
        <v>2191</v>
      </c>
      <c r="C1122" s="568" t="s">
        <v>2191</v>
      </c>
      <c r="D1122" s="567">
        <v>6770</v>
      </c>
      <c r="E1122" s="567">
        <v>39</v>
      </c>
      <c r="F1122" s="567">
        <v>6</v>
      </c>
      <c r="G1122" s="567">
        <v>337</v>
      </c>
      <c r="H1122" s="567">
        <v>3180</v>
      </c>
      <c r="O1122"/>
    </row>
    <row r="1123" spans="1:15" x14ac:dyDescent="0.2">
      <c r="A1123" s="567">
        <v>2354</v>
      </c>
      <c r="B1123" s="568" t="s">
        <v>2191</v>
      </c>
      <c r="C1123" s="568" t="s">
        <v>1985</v>
      </c>
      <c r="D1123" s="567">
        <v>6772</v>
      </c>
      <c r="E1123" s="567">
        <v>39</v>
      </c>
      <c r="F1123" s="567">
        <v>6</v>
      </c>
      <c r="G1123" s="567">
        <v>337</v>
      </c>
      <c r="H1123" s="567">
        <v>3180</v>
      </c>
      <c r="O1123"/>
    </row>
    <row r="1124" spans="1:15" x14ac:dyDescent="0.2">
      <c r="A1124" s="567">
        <v>2353</v>
      </c>
      <c r="B1124" s="568" t="s">
        <v>2191</v>
      </c>
      <c r="C1124" s="568" t="s">
        <v>2550</v>
      </c>
      <c r="D1124" s="567">
        <v>6771</v>
      </c>
      <c r="E1124" s="567">
        <v>39</v>
      </c>
      <c r="F1124" s="567">
        <v>6</v>
      </c>
      <c r="G1124" s="567">
        <v>337</v>
      </c>
      <c r="H1124" s="567">
        <v>3180</v>
      </c>
      <c r="O1124"/>
    </row>
    <row r="1125" spans="1:15" x14ac:dyDescent="0.2">
      <c r="A1125" s="567">
        <v>2575</v>
      </c>
      <c r="B1125" s="568" t="s">
        <v>2039</v>
      </c>
      <c r="C1125" s="568" t="s">
        <v>2038</v>
      </c>
      <c r="D1125" s="567">
        <v>7401</v>
      </c>
      <c r="E1125" s="567">
        <v>105</v>
      </c>
      <c r="F1125" s="567">
        <v>3</v>
      </c>
      <c r="G1125" s="567">
        <v>336</v>
      </c>
      <c r="H1125" s="567">
        <v>3130</v>
      </c>
      <c r="O1125"/>
    </row>
    <row r="1126" spans="1:15" x14ac:dyDescent="0.2">
      <c r="A1126" s="567">
        <v>2574</v>
      </c>
      <c r="B1126" s="568" t="s">
        <v>2039</v>
      </c>
      <c r="C1126" s="568" t="s">
        <v>2053</v>
      </c>
      <c r="D1126" s="567">
        <v>7400</v>
      </c>
      <c r="E1126" s="567">
        <v>105</v>
      </c>
      <c r="F1126" s="567">
        <v>3</v>
      </c>
      <c r="G1126" s="567">
        <v>336</v>
      </c>
      <c r="H1126" s="567">
        <v>3130</v>
      </c>
      <c r="O1126"/>
    </row>
    <row r="1127" spans="1:15" x14ac:dyDescent="0.2">
      <c r="A1127" s="567">
        <v>2925</v>
      </c>
      <c r="B1127" s="568" t="s">
        <v>3188</v>
      </c>
      <c r="C1127" s="568" t="s">
        <v>3188</v>
      </c>
      <c r="D1127" s="567">
        <v>8400</v>
      </c>
      <c r="E1127" s="567">
        <v>50</v>
      </c>
      <c r="F1127" s="567">
        <v>12</v>
      </c>
      <c r="G1127" s="567">
        <v>425</v>
      </c>
      <c r="H1127" s="567">
        <v>4170</v>
      </c>
      <c r="O1127"/>
    </row>
    <row r="1128" spans="1:15" x14ac:dyDescent="0.2">
      <c r="A1128" s="567">
        <v>1595</v>
      </c>
      <c r="B1128" s="568" t="s">
        <v>1220</v>
      </c>
      <c r="C1128" s="568" t="s">
        <v>1220</v>
      </c>
      <c r="D1128" s="567">
        <v>4385</v>
      </c>
      <c r="E1128" s="567">
        <v>32</v>
      </c>
      <c r="F1128" s="567">
        <v>7</v>
      </c>
      <c r="G1128" s="567">
        <v>237</v>
      </c>
      <c r="H1128" s="567">
        <v>2110</v>
      </c>
      <c r="O1128"/>
    </row>
    <row r="1129" spans="1:15" x14ac:dyDescent="0.2">
      <c r="A1129" s="567">
        <v>788</v>
      </c>
      <c r="B1129" s="568" t="s">
        <v>819</v>
      </c>
      <c r="C1129" s="568" t="s">
        <v>819</v>
      </c>
      <c r="D1129" s="567">
        <v>1895</v>
      </c>
      <c r="E1129" s="567">
        <v>22</v>
      </c>
      <c r="F1129" s="567">
        <v>18</v>
      </c>
      <c r="G1129" s="567">
        <v>116</v>
      </c>
      <c r="H1129" s="567">
        <v>1180</v>
      </c>
      <c r="O1129"/>
    </row>
    <row r="1130" spans="1:15" x14ac:dyDescent="0.2">
      <c r="A1130" s="567">
        <v>482</v>
      </c>
      <c r="B1130" s="568" t="s">
        <v>779</v>
      </c>
      <c r="C1130" s="568" t="s">
        <v>778</v>
      </c>
      <c r="D1130" s="567">
        <v>927</v>
      </c>
      <c r="E1130" s="567">
        <v>21</v>
      </c>
      <c r="F1130" s="567">
        <v>1</v>
      </c>
      <c r="G1130" s="567">
        <v>118</v>
      </c>
      <c r="H1130" s="567">
        <v>1170</v>
      </c>
      <c r="O1130"/>
    </row>
    <row r="1131" spans="1:15" x14ac:dyDescent="0.2">
      <c r="A1131" s="567">
        <v>481</v>
      </c>
      <c r="B1131" s="568" t="s">
        <v>779</v>
      </c>
      <c r="C1131" s="568" t="s">
        <v>780</v>
      </c>
      <c r="D1131" s="567">
        <v>926</v>
      </c>
      <c r="E1131" s="567">
        <v>21</v>
      </c>
      <c r="F1131" s="567">
        <v>1</v>
      </c>
      <c r="G1131" s="567">
        <v>118</v>
      </c>
      <c r="H1131" s="567">
        <v>1170</v>
      </c>
      <c r="O1131"/>
    </row>
    <row r="1132" spans="1:15" x14ac:dyDescent="0.2">
      <c r="A1132" s="567">
        <v>480</v>
      </c>
      <c r="B1132" s="568" t="s">
        <v>779</v>
      </c>
      <c r="C1132" s="568" t="s">
        <v>779</v>
      </c>
      <c r="D1132" s="567">
        <v>925</v>
      </c>
      <c r="E1132" s="567">
        <v>21</v>
      </c>
      <c r="F1132" s="567">
        <v>1</v>
      </c>
      <c r="G1132" s="567">
        <v>118</v>
      </c>
      <c r="H1132" s="567">
        <v>1170</v>
      </c>
      <c r="O1132"/>
    </row>
    <row r="1133" spans="1:15" x14ac:dyDescent="0.2">
      <c r="A1133" s="567">
        <v>2764</v>
      </c>
      <c r="B1133" s="568" t="s">
        <v>2664</v>
      </c>
      <c r="C1133" s="568" t="s">
        <v>2664</v>
      </c>
      <c r="D1133" s="567">
        <v>7930</v>
      </c>
      <c r="E1133" s="567">
        <v>23</v>
      </c>
      <c r="F1133" s="567">
        <v>17</v>
      </c>
      <c r="G1133" s="567">
        <v>417</v>
      </c>
      <c r="H1133" s="567">
        <v>4100</v>
      </c>
      <c r="O1133"/>
    </row>
    <row r="1134" spans="1:15" x14ac:dyDescent="0.2">
      <c r="A1134" s="567">
        <v>560</v>
      </c>
      <c r="B1134" s="568" t="s">
        <v>237</v>
      </c>
      <c r="C1134" s="568" t="s">
        <v>236</v>
      </c>
      <c r="D1134" s="567">
        <v>1186</v>
      </c>
      <c r="E1134" s="567">
        <v>24</v>
      </c>
      <c r="F1134" s="567">
        <v>19</v>
      </c>
      <c r="G1134" s="567">
        <v>119</v>
      </c>
      <c r="H1134" s="567">
        <v>1110</v>
      </c>
      <c r="O1134"/>
    </row>
    <row r="1135" spans="1:15" x14ac:dyDescent="0.2">
      <c r="A1135" s="567">
        <v>559</v>
      </c>
      <c r="B1135" s="568" t="s">
        <v>237</v>
      </c>
      <c r="C1135" s="568" t="s">
        <v>237</v>
      </c>
      <c r="D1135" s="567">
        <v>1185</v>
      </c>
      <c r="E1135" s="567">
        <v>24</v>
      </c>
      <c r="F1135" s="567">
        <v>19</v>
      </c>
      <c r="G1135" s="567">
        <v>119</v>
      </c>
      <c r="H1135" s="567">
        <v>1110</v>
      </c>
      <c r="O1135"/>
    </row>
    <row r="1136" spans="1:15" x14ac:dyDescent="0.2">
      <c r="A1136" s="567">
        <v>34</v>
      </c>
      <c r="B1136" s="568" t="s">
        <v>278</v>
      </c>
      <c r="C1136" s="568" t="s">
        <v>278</v>
      </c>
      <c r="D1136" s="567">
        <v>50</v>
      </c>
      <c r="E1136" s="567">
        <v>45</v>
      </c>
      <c r="F1136" s="567">
        <v>21</v>
      </c>
      <c r="G1136" s="567">
        <v>128</v>
      </c>
      <c r="H1136" s="567">
        <v>1121</v>
      </c>
      <c r="O1136"/>
    </row>
    <row r="1137" spans="1:15" x14ac:dyDescent="0.2">
      <c r="A1137" s="567">
        <v>35</v>
      </c>
      <c r="B1137" s="568" t="s">
        <v>278</v>
      </c>
      <c r="C1137" s="568" t="s">
        <v>279</v>
      </c>
      <c r="D1137" s="567">
        <v>51</v>
      </c>
      <c r="E1137" s="567">
        <v>45</v>
      </c>
      <c r="F1137" s="567">
        <v>21</v>
      </c>
      <c r="G1137" s="567">
        <v>128</v>
      </c>
      <c r="H1137" s="567">
        <v>1121</v>
      </c>
      <c r="O1137"/>
    </row>
    <row r="1138" spans="1:15" x14ac:dyDescent="0.2">
      <c r="A1138" s="567">
        <v>36</v>
      </c>
      <c r="B1138" s="568" t="s">
        <v>278</v>
      </c>
      <c r="C1138" s="568" t="s">
        <v>280</v>
      </c>
      <c r="D1138" s="567">
        <v>52</v>
      </c>
      <c r="E1138" s="567">
        <v>45</v>
      </c>
      <c r="F1138" s="567">
        <v>21</v>
      </c>
      <c r="G1138" s="567">
        <v>128</v>
      </c>
      <c r="H1138" s="567">
        <v>1121</v>
      </c>
      <c r="O1138"/>
    </row>
    <row r="1139" spans="1:15" x14ac:dyDescent="0.2">
      <c r="A1139" s="567">
        <v>37</v>
      </c>
      <c r="B1139" s="568" t="s">
        <v>278</v>
      </c>
      <c r="C1139" s="568" t="s">
        <v>293</v>
      </c>
      <c r="D1139" s="567">
        <v>53</v>
      </c>
      <c r="E1139" s="567">
        <v>45</v>
      </c>
      <c r="F1139" s="567">
        <v>21</v>
      </c>
      <c r="G1139" s="567">
        <v>128</v>
      </c>
      <c r="H1139" s="567">
        <v>1121</v>
      </c>
      <c r="O1139"/>
    </row>
    <row r="1140" spans="1:15" x14ac:dyDescent="0.2">
      <c r="A1140" s="567">
        <v>869</v>
      </c>
      <c r="B1140" s="568" t="s">
        <v>444</v>
      </c>
      <c r="C1140" s="568" t="s">
        <v>444</v>
      </c>
      <c r="D1140" s="567">
        <v>2195</v>
      </c>
      <c r="E1140" s="567">
        <v>28</v>
      </c>
      <c r="F1140" s="567">
        <v>14</v>
      </c>
      <c r="G1140" s="567">
        <v>117</v>
      </c>
      <c r="H1140" s="567">
        <v>1130</v>
      </c>
      <c r="O1140"/>
    </row>
    <row r="1141" spans="1:15" x14ac:dyDescent="0.2">
      <c r="A1141" s="567">
        <v>2956</v>
      </c>
      <c r="B1141" s="568" t="s">
        <v>3264</v>
      </c>
      <c r="C1141" s="568" t="s">
        <v>3264</v>
      </c>
      <c r="D1141" s="567">
        <v>8530</v>
      </c>
      <c r="E1141" s="567">
        <v>52</v>
      </c>
      <c r="F1141" s="567">
        <v>11</v>
      </c>
      <c r="G1141" s="567">
        <v>425</v>
      </c>
      <c r="H1141" s="567">
        <v>4170</v>
      </c>
      <c r="O1141"/>
    </row>
    <row r="1142" spans="1:15" x14ac:dyDescent="0.2">
      <c r="A1142" s="567">
        <v>3299</v>
      </c>
      <c r="B1142" s="568" t="s">
        <v>2830</v>
      </c>
      <c r="C1142" s="568" t="s">
        <v>2830</v>
      </c>
      <c r="D1142" s="567">
        <v>9620</v>
      </c>
      <c r="E1142" s="567">
        <v>39</v>
      </c>
      <c r="F1142" s="567">
        <v>11</v>
      </c>
      <c r="G1142" s="567">
        <v>436</v>
      </c>
      <c r="H1142" s="567">
        <v>4120</v>
      </c>
      <c r="O1142"/>
    </row>
    <row r="1143" spans="1:15" x14ac:dyDescent="0.2">
      <c r="A1143" s="567">
        <v>51</v>
      </c>
      <c r="B1143" s="568" t="s">
        <v>309</v>
      </c>
      <c r="C1143" s="568" t="s">
        <v>308</v>
      </c>
      <c r="D1143" s="567">
        <v>77</v>
      </c>
      <c r="E1143" s="567">
        <v>47</v>
      </c>
      <c r="F1143" s="567">
        <v>21</v>
      </c>
      <c r="G1143" s="567">
        <v>128</v>
      </c>
      <c r="H1143" s="567">
        <v>1121</v>
      </c>
      <c r="O1143"/>
    </row>
    <row r="1144" spans="1:15" x14ac:dyDescent="0.2">
      <c r="A1144" s="567">
        <v>49</v>
      </c>
      <c r="B1144" s="568" t="s">
        <v>309</v>
      </c>
      <c r="C1144" s="568" t="s">
        <v>309</v>
      </c>
      <c r="D1144" s="567">
        <v>75</v>
      </c>
      <c r="E1144" s="567">
        <v>47</v>
      </c>
      <c r="F1144" s="567">
        <v>21</v>
      </c>
      <c r="G1144" s="567">
        <v>128</v>
      </c>
      <c r="H1144" s="567">
        <v>1121</v>
      </c>
      <c r="O1144"/>
    </row>
    <row r="1145" spans="1:15" x14ac:dyDescent="0.2">
      <c r="A1145" s="567">
        <v>52</v>
      </c>
      <c r="B1145" s="568" t="s">
        <v>309</v>
      </c>
      <c r="C1145" s="568" t="s">
        <v>345</v>
      </c>
      <c r="D1145" s="567">
        <v>78</v>
      </c>
      <c r="E1145" s="567">
        <v>47</v>
      </c>
      <c r="F1145" s="567">
        <v>21</v>
      </c>
      <c r="G1145" s="567">
        <v>128</v>
      </c>
      <c r="H1145" s="567">
        <v>1121</v>
      </c>
      <c r="O1145"/>
    </row>
    <row r="1146" spans="1:15" x14ac:dyDescent="0.2">
      <c r="A1146" s="567">
        <v>53</v>
      </c>
      <c r="B1146" s="568" t="s">
        <v>309</v>
      </c>
      <c r="C1146" s="568" t="s">
        <v>346</v>
      </c>
      <c r="D1146" s="567">
        <v>79</v>
      </c>
      <c r="E1146" s="567">
        <v>47</v>
      </c>
      <c r="F1146" s="567">
        <v>21</v>
      </c>
      <c r="G1146" s="567">
        <v>128</v>
      </c>
      <c r="H1146" s="567">
        <v>1121</v>
      </c>
      <c r="O1146"/>
    </row>
    <row r="1147" spans="1:15" x14ac:dyDescent="0.2">
      <c r="A1147" s="567">
        <v>54</v>
      </c>
      <c r="B1147" s="568" t="s">
        <v>309</v>
      </c>
      <c r="C1147" s="568" t="s">
        <v>347</v>
      </c>
      <c r="D1147" s="567">
        <v>80</v>
      </c>
      <c r="E1147" s="567">
        <v>47</v>
      </c>
      <c r="F1147" s="567">
        <v>21</v>
      </c>
      <c r="G1147" s="567">
        <v>128</v>
      </c>
      <c r="H1147" s="567">
        <v>1121</v>
      </c>
      <c r="O1147"/>
    </row>
    <row r="1148" spans="1:15" x14ac:dyDescent="0.2">
      <c r="A1148" s="567">
        <v>50</v>
      </c>
      <c r="B1148" s="568" t="s">
        <v>309</v>
      </c>
      <c r="C1148" s="568" t="s">
        <v>367</v>
      </c>
      <c r="D1148" s="567">
        <v>76</v>
      </c>
      <c r="E1148" s="567">
        <v>47</v>
      </c>
      <c r="F1148" s="567">
        <v>21</v>
      </c>
      <c r="G1148" s="567">
        <v>128</v>
      </c>
      <c r="H1148" s="567">
        <v>1121</v>
      </c>
      <c r="O1148"/>
    </row>
    <row r="1149" spans="1:15" x14ac:dyDescent="0.2">
      <c r="A1149" s="567">
        <v>902</v>
      </c>
      <c r="B1149" s="568" t="s">
        <v>60</v>
      </c>
      <c r="C1149" s="568" t="s">
        <v>60</v>
      </c>
      <c r="D1149" s="567">
        <v>2310</v>
      </c>
      <c r="E1149" s="567">
        <v>27</v>
      </c>
      <c r="F1149" s="567">
        <v>19</v>
      </c>
      <c r="G1149" s="567">
        <v>136</v>
      </c>
      <c r="H1149" s="567">
        <v>1101</v>
      </c>
      <c r="O1149"/>
    </row>
    <row r="1150" spans="1:15" x14ac:dyDescent="0.2">
      <c r="A1150" s="567">
        <v>903</v>
      </c>
      <c r="B1150" s="568" t="s">
        <v>60</v>
      </c>
      <c r="C1150" s="568" t="s">
        <v>61</v>
      </c>
      <c r="D1150" s="567">
        <v>2311</v>
      </c>
      <c r="E1150" s="567">
        <v>27</v>
      </c>
      <c r="F1150" s="567">
        <v>19</v>
      </c>
      <c r="G1150" s="567">
        <v>136</v>
      </c>
      <c r="H1150" s="567">
        <v>1101</v>
      </c>
      <c r="O1150"/>
    </row>
    <row r="1151" spans="1:15" x14ac:dyDescent="0.2">
      <c r="A1151" s="567">
        <v>904</v>
      </c>
      <c r="B1151" s="568" t="s">
        <v>60</v>
      </c>
      <c r="C1151" s="568" t="s">
        <v>62</v>
      </c>
      <c r="D1151" s="567">
        <v>2312</v>
      </c>
      <c r="E1151" s="567">
        <v>27</v>
      </c>
      <c r="F1151" s="567">
        <v>19</v>
      </c>
      <c r="G1151" s="567">
        <v>136</v>
      </c>
      <c r="H1151" s="567">
        <v>1101</v>
      </c>
      <c r="O1151"/>
    </row>
    <row r="1152" spans="1:15" x14ac:dyDescent="0.2">
      <c r="A1152" s="567">
        <v>3237</v>
      </c>
      <c r="B1152" s="568" t="s">
        <v>2855</v>
      </c>
      <c r="C1152" s="568" t="s">
        <v>2855</v>
      </c>
      <c r="D1152" s="567">
        <v>9380</v>
      </c>
      <c r="E1152" s="567">
        <v>40</v>
      </c>
      <c r="F1152" s="567">
        <v>11</v>
      </c>
      <c r="G1152" s="567">
        <v>436</v>
      </c>
      <c r="H1152" s="567">
        <v>4120</v>
      </c>
      <c r="O1152"/>
    </row>
    <row r="1153" spans="1:15" x14ac:dyDescent="0.2">
      <c r="A1153" s="567">
        <v>463</v>
      </c>
      <c r="B1153" s="568" t="s">
        <v>520</v>
      </c>
      <c r="C1153" s="568" t="s">
        <v>520</v>
      </c>
      <c r="D1153" s="567">
        <v>890</v>
      </c>
      <c r="E1153" s="567">
        <v>38</v>
      </c>
      <c r="F1153" s="567">
        <v>1</v>
      </c>
      <c r="G1153" s="567">
        <v>125</v>
      </c>
      <c r="H1153" s="567">
        <v>1150</v>
      </c>
      <c r="O1153"/>
    </row>
    <row r="1154" spans="1:15" x14ac:dyDescent="0.2">
      <c r="A1154" s="567">
        <v>464</v>
      </c>
      <c r="B1154" s="568" t="s">
        <v>520</v>
      </c>
      <c r="C1154" s="568" t="s">
        <v>521</v>
      </c>
      <c r="D1154" s="567">
        <v>891</v>
      </c>
      <c r="E1154" s="567">
        <v>38</v>
      </c>
      <c r="F1154" s="567">
        <v>1</v>
      </c>
      <c r="G1154" s="567">
        <v>125</v>
      </c>
      <c r="H1154" s="567">
        <v>1150</v>
      </c>
      <c r="O1154"/>
    </row>
    <row r="1155" spans="1:15" x14ac:dyDescent="0.2">
      <c r="A1155" s="567">
        <v>465</v>
      </c>
      <c r="B1155" s="568" t="s">
        <v>520</v>
      </c>
      <c r="C1155" s="568" t="s">
        <v>522</v>
      </c>
      <c r="D1155" s="567">
        <v>892</v>
      </c>
      <c r="E1155" s="567">
        <v>38</v>
      </c>
      <c r="F1155" s="567">
        <v>1</v>
      </c>
      <c r="G1155" s="567">
        <v>125</v>
      </c>
      <c r="H1155" s="567">
        <v>1150</v>
      </c>
      <c r="O1155"/>
    </row>
    <row r="1156" spans="1:15" x14ac:dyDescent="0.2">
      <c r="A1156" s="567">
        <v>1901</v>
      </c>
      <c r="B1156" s="568" t="s">
        <v>1951</v>
      </c>
      <c r="C1156" s="568" t="s">
        <v>1950</v>
      </c>
      <c r="D1156" s="567">
        <v>5341</v>
      </c>
      <c r="E1156" s="567">
        <v>47</v>
      </c>
      <c r="F1156" s="567">
        <v>3</v>
      </c>
      <c r="G1156" s="567">
        <v>315</v>
      </c>
      <c r="H1156" s="567">
        <v>3120</v>
      </c>
      <c r="O1156"/>
    </row>
    <row r="1157" spans="1:15" x14ac:dyDescent="0.2">
      <c r="A1157" s="567">
        <v>1900</v>
      </c>
      <c r="B1157" s="568" t="s">
        <v>1951</v>
      </c>
      <c r="C1157" s="568" t="s">
        <v>1951</v>
      </c>
      <c r="D1157" s="567">
        <v>5340</v>
      </c>
      <c r="E1157" s="567">
        <v>47</v>
      </c>
      <c r="F1157" s="567">
        <v>3</v>
      </c>
      <c r="G1157" s="567">
        <v>315</v>
      </c>
      <c r="H1157" s="567">
        <v>3120</v>
      </c>
      <c r="O1157"/>
    </row>
    <row r="1158" spans="1:15" x14ac:dyDescent="0.2">
      <c r="A1158" s="567">
        <v>362</v>
      </c>
      <c r="B1158" s="568" t="s">
        <v>565</v>
      </c>
      <c r="C1158" s="568" t="s">
        <v>565</v>
      </c>
      <c r="D1158" s="567">
        <v>645</v>
      </c>
      <c r="E1158" s="567">
        <v>39</v>
      </c>
      <c r="F1158" s="567">
        <v>1</v>
      </c>
      <c r="G1158" s="567">
        <v>125</v>
      </c>
      <c r="H1158" s="567">
        <v>1150</v>
      </c>
      <c r="O1158"/>
    </row>
    <row r="1159" spans="1:15" x14ac:dyDescent="0.2">
      <c r="A1159" s="567">
        <v>363</v>
      </c>
      <c r="B1159" s="568" t="s">
        <v>565</v>
      </c>
      <c r="C1159" s="568" t="s">
        <v>579</v>
      </c>
      <c r="D1159" s="567">
        <v>646</v>
      </c>
      <c r="E1159" s="567">
        <v>39</v>
      </c>
      <c r="F1159" s="567">
        <v>1</v>
      </c>
      <c r="G1159" s="567">
        <v>125</v>
      </c>
      <c r="H1159" s="567">
        <v>1150</v>
      </c>
      <c r="O1159"/>
    </row>
    <row r="1160" spans="1:15" x14ac:dyDescent="0.2">
      <c r="A1160" s="567">
        <v>364</v>
      </c>
      <c r="B1160" s="568" t="s">
        <v>565</v>
      </c>
      <c r="C1160" s="568" t="s">
        <v>580</v>
      </c>
      <c r="D1160" s="567">
        <v>647</v>
      </c>
      <c r="E1160" s="567">
        <v>39</v>
      </c>
      <c r="F1160" s="567">
        <v>1</v>
      </c>
      <c r="G1160" s="567">
        <v>125</v>
      </c>
      <c r="H1160" s="567">
        <v>1150</v>
      </c>
      <c r="O1160"/>
    </row>
    <row r="1161" spans="1:15" x14ac:dyDescent="0.2">
      <c r="A1161" s="567">
        <v>366</v>
      </c>
      <c r="B1161" s="568" t="s">
        <v>565</v>
      </c>
      <c r="C1161" s="568" t="s">
        <v>582</v>
      </c>
      <c r="D1161" s="567">
        <v>649</v>
      </c>
      <c r="E1161" s="567">
        <v>39</v>
      </c>
      <c r="F1161" s="567">
        <v>1</v>
      </c>
      <c r="G1161" s="567">
        <v>125</v>
      </c>
      <c r="H1161" s="567">
        <v>1150</v>
      </c>
      <c r="O1161"/>
    </row>
    <row r="1162" spans="1:15" x14ac:dyDescent="0.2">
      <c r="A1162" s="567">
        <v>365</v>
      </c>
      <c r="B1162" s="568" t="s">
        <v>565</v>
      </c>
      <c r="C1162" s="568" t="s">
        <v>618</v>
      </c>
      <c r="D1162" s="567">
        <v>648</v>
      </c>
      <c r="E1162" s="567">
        <v>39</v>
      </c>
      <c r="F1162" s="567">
        <v>1</v>
      </c>
      <c r="G1162" s="567">
        <v>125</v>
      </c>
      <c r="H1162" s="567">
        <v>1150</v>
      </c>
      <c r="O1162"/>
    </row>
    <row r="1163" spans="1:15" x14ac:dyDescent="0.2">
      <c r="A1163" s="567">
        <v>2192</v>
      </c>
      <c r="B1163" s="568" t="s">
        <v>2458</v>
      </c>
      <c r="C1163" s="568" t="s">
        <v>2458</v>
      </c>
      <c r="D1163" s="567">
        <v>6310</v>
      </c>
      <c r="E1163" s="567">
        <v>20</v>
      </c>
      <c r="F1163" s="567">
        <v>16</v>
      </c>
      <c r="G1163" s="567">
        <v>327</v>
      </c>
      <c r="H1163" s="567">
        <v>3170</v>
      </c>
      <c r="O1163"/>
    </row>
    <row r="1164" spans="1:15" x14ac:dyDescent="0.2">
      <c r="A1164" s="567">
        <v>1808</v>
      </c>
      <c r="B1164" s="568" t="s">
        <v>2156</v>
      </c>
      <c r="C1164" s="568" t="s">
        <v>1806</v>
      </c>
      <c r="D1164" s="567">
        <v>4990</v>
      </c>
      <c r="E1164" s="567">
        <v>39</v>
      </c>
      <c r="F1164" s="567">
        <v>5</v>
      </c>
      <c r="G1164" s="567">
        <v>317</v>
      </c>
      <c r="H1164" s="567">
        <v>3140</v>
      </c>
      <c r="O1164"/>
    </row>
    <row r="1165" spans="1:15" x14ac:dyDescent="0.2">
      <c r="A1165" s="567">
        <v>1861</v>
      </c>
      <c r="B1165" s="568" t="s">
        <v>1807</v>
      </c>
      <c r="C1165" s="568" t="s">
        <v>1806</v>
      </c>
      <c r="D1165" s="567">
        <v>5200</v>
      </c>
      <c r="E1165" s="567">
        <v>14</v>
      </c>
      <c r="F1165" s="567">
        <v>5</v>
      </c>
      <c r="G1165" s="567">
        <v>316</v>
      </c>
      <c r="H1165" s="567">
        <v>3110</v>
      </c>
      <c r="O1165"/>
    </row>
    <row r="1166" spans="1:15" x14ac:dyDescent="0.2">
      <c r="A1166" s="567">
        <v>1862</v>
      </c>
      <c r="B1166" s="568" t="s">
        <v>1807</v>
      </c>
      <c r="C1166" s="568" t="s">
        <v>1833</v>
      </c>
      <c r="D1166" s="567">
        <v>5201</v>
      </c>
      <c r="E1166" s="567">
        <v>14</v>
      </c>
      <c r="F1166" s="567">
        <v>5</v>
      </c>
      <c r="G1166" s="567">
        <v>316</v>
      </c>
      <c r="H1166" s="567">
        <v>3110</v>
      </c>
      <c r="O1166"/>
    </row>
    <row r="1167" spans="1:15" x14ac:dyDescent="0.2">
      <c r="A1167" s="567">
        <v>1863</v>
      </c>
      <c r="B1167" s="568" t="s">
        <v>1807</v>
      </c>
      <c r="C1167" s="568" t="s">
        <v>1838</v>
      </c>
      <c r="D1167" s="567">
        <v>5202</v>
      </c>
      <c r="E1167" s="567">
        <v>14</v>
      </c>
      <c r="F1167" s="567">
        <v>5</v>
      </c>
      <c r="G1167" s="567">
        <v>316</v>
      </c>
      <c r="H1167" s="567">
        <v>3110</v>
      </c>
      <c r="O1167"/>
    </row>
    <row r="1168" spans="1:15" x14ac:dyDescent="0.2">
      <c r="A1168" s="567">
        <v>2128</v>
      </c>
      <c r="B1168" s="568" t="s">
        <v>1786</v>
      </c>
      <c r="C1168" s="568" t="s">
        <v>1786</v>
      </c>
      <c r="D1168" s="567">
        <v>6100</v>
      </c>
      <c r="E1168" s="567">
        <v>20</v>
      </c>
      <c r="F1168" s="567">
        <v>6</v>
      </c>
      <c r="G1168" s="567">
        <v>326</v>
      </c>
      <c r="H1168" s="567">
        <v>3100</v>
      </c>
      <c r="O1168"/>
    </row>
    <row r="1169" spans="1:15" x14ac:dyDescent="0.2">
      <c r="A1169" s="567">
        <v>3071</v>
      </c>
      <c r="B1169" s="568" t="s">
        <v>2736</v>
      </c>
      <c r="C1169" s="568" t="s">
        <v>2735</v>
      </c>
      <c r="D1169" s="567">
        <v>8860</v>
      </c>
      <c r="E1169" s="567">
        <v>135</v>
      </c>
      <c r="F1169" s="567">
        <v>11</v>
      </c>
      <c r="G1169" s="567">
        <v>426</v>
      </c>
      <c r="H1169" s="567">
        <v>4110</v>
      </c>
      <c r="O1169"/>
    </row>
    <row r="1170" spans="1:15" x14ac:dyDescent="0.2">
      <c r="A1170" s="567">
        <v>3072</v>
      </c>
      <c r="B1170" s="568" t="s">
        <v>2736</v>
      </c>
      <c r="C1170" s="568" t="s">
        <v>2737</v>
      </c>
      <c r="D1170" s="567">
        <v>8861</v>
      </c>
      <c r="E1170" s="567">
        <v>135</v>
      </c>
      <c r="F1170" s="567">
        <v>11</v>
      </c>
      <c r="G1170" s="567">
        <v>426</v>
      </c>
      <c r="H1170" s="567">
        <v>4110</v>
      </c>
      <c r="O1170"/>
    </row>
    <row r="1171" spans="1:15" x14ac:dyDescent="0.2">
      <c r="A1171" s="567">
        <v>2731</v>
      </c>
      <c r="B1171" s="568" t="s">
        <v>2936</v>
      </c>
      <c r="C1171" s="568" t="s">
        <v>2936</v>
      </c>
      <c r="D1171" s="567">
        <v>7840</v>
      </c>
      <c r="E1171" s="567">
        <v>86</v>
      </c>
      <c r="F1171" s="567">
        <v>14</v>
      </c>
      <c r="G1171" s="567">
        <v>415</v>
      </c>
      <c r="H1171" s="567">
        <v>4131</v>
      </c>
      <c r="O1171"/>
    </row>
    <row r="1172" spans="1:15" x14ac:dyDescent="0.2">
      <c r="A1172" s="567">
        <v>2514</v>
      </c>
      <c r="B1172" s="568" t="s">
        <v>2100</v>
      </c>
      <c r="C1172" s="568" t="s">
        <v>2099</v>
      </c>
      <c r="D1172" s="567">
        <v>7221</v>
      </c>
      <c r="E1172" s="567">
        <v>106</v>
      </c>
      <c r="F1172" s="567">
        <v>6</v>
      </c>
      <c r="G1172" s="567">
        <v>336</v>
      </c>
      <c r="H1172" s="567">
        <v>3130</v>
      </c>
      <c r="O1172"/>
    </row>
    <row r="1173" spans="1:15" x14ac:dyDescent="0.2">
      <c r="A1173" s="567">
        <v>2513</v>
      </c>
      <c r="B1173" s="568" t="s">
        <v>2100</v>
      </c>
      <c r="C1173" s="568" t="s">
        <v>2101</v>
      </c>
      <c r="D1173" s="567">
        <v>7220</v>
      </c>
      <c r="E1173" s="567">
        <v>106</v>
      </c>
      <c r="F1173" s="567">
        <v>6</v>
      </c>
      <c r="G1173" s="567">
        <v>336</v>
      </c>
      <c r="H1173" s="567">
        <v>3130</v>
      </c>
      <c r="O1173"/>
    </row>
    <row r="1174" spans="1:15" x14ac:dyDescent="0.2">
      <c r="A1174" s="567">
        <v>3370</v>
      </c>
      <c r="B1174" s="568" t="s">
        <v>3146</v>
      </c>
      <c r="C1174" s="568" t="s">
        <v>3145</v>
      </c>
      <c r="D1174" s="567">
        <v>9870</v>
      </c>
      <c r="E1174" s="567">
        <v>18</v>
      </c>
      <c r="F1174" s="567">
        <v>4</v>
      </c>
      <c r="G1174" s="567">
        <v>435</v>
      </c>
      <c r="H1174" s="567">
        <v>4160</v>
      </c>
      <c r="O1174"/>
    </row>
    <row r="1175" spans="1:15" x14ac:dyDescent="0.2">
      <c r="A1175" s="567">
        <v>2738</v>
      </c>
      <c r="B1175" s="568" t="s">
        <v>2607</v>
      </c>
      <c r="C1175" s="568" t="s">
        <v>187</v>
      </c>
      <c r="D1175" s="567">
        <v>7866</v>
      </c>
      <c r="E1175" s="567">
        <v>25</v>
      </c>
      <c r="F1175" s="567">
        <v>17</v>
      </c>
      <c r="G1175" s="567">
        <v>417</v>
      </c>
      <c r="H1175" s="567">
        <v>4100</v>
      </c>
      <c r="O1175"/>
    </row>
    <row r="1176" spans="1:15" x14ac:dyDescent="0.2">
      <c r="A1176" s="567">
        <v>2740</v>
      </c>
      <c r="B1176" s="568" t="s">
        <v>2607</v>
      </c>
      <c r="C1176" s="568" t="s">
        <v>2644</v>
      </c>
      <c r="D1176" s="567">
        <v>7868</v>
      </c>
      <c r="E1176" s="567">
        <v>25</v>
      </c>
      <c r="F1176" s="567">
        <v>17</v>
      </c>
      <c r="G1176" s="567">
        <v>417</v>
      </c>
      <c r="H1176" s="567">
        <v>4100</v>
      </c>
      <c r="O1176"/>
    </row>
    <row r="1177" spans="1:15" x14ac:dyDescent="0.2">
      <c r="A1177" s="567">
        <v>2739</v>
      </c>
      <c r="B1177" s="568" t="s">
        <v>2607</v>
      </c>
      <c r="C1177" s="568" t="s">
        <v>2645</v>
      </c>
      <c r="D1177" s="567">
        <v>7867</v>
      </c>
      <c r="E1177" s="567">
        <v>25</v>
      </c>
      <c r="F1177" s="567">
        <v>17</v>
      </c>
      <c r="G1177" s="567">
        <v>417</v>
      </c>
      <c r="H1177" s="567">
        <v>4100</v>
      </c>
      <c r="O1177"/>
    </row>
    <row r="1178" spans="1:15" x14ac:dyDescent="0.2">
      <c r="A1178" s="567">
        <v>2732</v>
      </c>
      <c r="B1178" s="568" t="s">
        <v>2607</v>
      </c>
      <c r="C1178" s="568" t="s">
        <v>2607</v>
      </c>
      <c r="D1178" s="567">
        <v>7860</v>
      </c>
      <c r="E1178" s="567">
        <v>25</v>
      </c>
      <c r="F1178" s="567">
        <v>17</v>
      </c>
      <c r="G1178" s="567">
        <v>417</v>
      </c>
      <c r="H1178" s="567">
        <v>4100</v>
      </c>
      <c r="O1178"/>
    </row>
    <row r="1179" spans="1:15" x14ac:dyDescent="0.2">
      <c r="A1179" s="567">
        <v>2733</v>
      </c>
      <c r="B1179" s="568" t="s">
        <v>2607</v>
      </c>
      <c r="C1179" s="568" t="s">
        <v>568</v>
      </c>
      <c r="D1179" s="567">
        <v>7861</v>
      </c>
      <c r="E1179" s="567">
        <v>25</v>
      </c>
      <c r="F1179" s="567">
        <v>17</v>
      </c>
      <c r="G1179" s="567">
        <v>417</v>
      </c>
      <c r="H1179" s="567">
        <v>4100</v>
      </c>
      <c r="O1179"/>
    </row>
    <row r="1180" spans="1:15" x14ac:dyDescent="0.2">
      <c r="A1180" s="567">
        <v>2734</v>
      </c>
      <c r="B1180" s="568" t="s">
        <v>2607</v>
      </c>
      <c r="C1180" s="568" t="s">
        <v>2646</v>
      </c>
      <c r="D1180" s="567">
        <v>7862</v>
      </c>
      <c r="E1180" s="567">
        <v>25</v>
      </c>
      <c r="F1180" s="567">
        <v>17</v>
      </c>
      <c r="G1180" s="567">
        <v>417</v>
      </c>
      <c r="H1180" s="567">
        <v>4100</v>
      </c>
      <c r="O1180"/>
    </row>
    <row r="1181" spans="1:15" x14ac:dyDescent="0.2">
      <c r="A1181" s="567">
        <v>2735</v>
      </c>
      <c r="B1181" s="568" t="s">
        <v>2607</v>
      </c>
      <c r="C1181" s="568" t="s">
        <v>2647</v>
      </c>
      <c r="D1181" s="567">
        <v>7863</v>
      </c>
      <c r="E1181" s="567">
        <v>25</v>
      </c>
      <c r="F1181" s="567">
        <v>17</v>
      </c>
      <c r="G1181" s="567">
        <v>417</v>
      </c>
      <c r="H1181" s="567">
        <v>4100</v>
      </c>
      <c r="O1181"/>
    </row>
    <row r="1182" spans="1:15" x14ac:dyDescent="0.2">
      <c r="A1182" s="567">
        <v>2736</v>
      </c>
      <c r="B1182" s="568" t="s">
        <v>2607</v>
      </c>
      <c r="C1182" s="568" t="s">
        <v>2648</v>
      </c>
      <c r="D1182" s="567">
        <v>7864</v>
      </c>
      <c r="E1182" s="567">
        <v>25</v>
      </c>
      <c r="F1182" s="567">
        <v>17</v>
      </c>
      <c r="G1182" s="567">
        <v>417</v>
      </c>
      <c r="H1182" s="567">
        <v>4100</v>
      </c>
      <c r="O1182"/>
    </row>
    <row r="1183" spans="1:15" x14ac:dyDescent="0.2">
      <c r="A1183" s="567">
        <v>2737</v>
      </c>
      <c r="B1183" s="568" t="s">
        <v>2607</v>
      </c>
      <c r="C1183" s="568" t="s">
        <v>2649</v>
      </c>
      <c r="D1183" s="567">
        <v>7865</v>
      </c>
      <c r="E1183" s="567">
        <v>25</v>
      </c>
      <c r="F1183" s="567">
        <v>17</v>
      </c>
      <c r="G1183" s="567">
        <v>417</v>
      </c>
      <c r="H1183" s="567">
        <v>4100</v>
      </c>
      <c r="O1183"/>
    </row>
    <row r="1184" spans="1:15" x14ac:dyDescent="0.2">
      <c r="A1184" s="567">
        <v>1577</v>
      </c>
      <c r="B1184" s="568" t="s">
        <v>1656</v>
      </c>
      <c r="C1184" s="568" t="s">
        <v>1655</v>
      </c>
      <c r="D1184" s="567">
        <v>4323</v>
      </c>
      <c r="E1184" s="567">
        <v>32</v>
      </c>
      <c r="F1184" s="567">
        <v>17</v>
      </c>
      <c r="G1184" s="567">
        <v>235</v>
      </c>
      <c r="H1184" s="567">
        <v>2160</v>
      </c>
      <c r="O1184"/>
    </row>
    <row r="1185" spans="1:15" x14ac:dyDescent="0.2">
      <c r="A1185" s="567">
        <v>1576</v>
      </c>
      <c r="B1185" s="568" t="s">
        <v>1656</v>
      </c>
      <c r="C1185" s="568" t="s">
        <v>1657</v>
      </c>
      <c r="D1185" s="567">
        <v>4322</v>
      </c>
      <c r="E1185" s="567">
        <v>32</v>
      </c>
      <c r="F1185" s="567">
        <v>17</v>
      </c>
      <c r="G1185" s="567">
        <v>235</v>
      </c>
      <c r="H1185" s="567">
        <v>2160</v>
      </c>
      <c r="O1185"/>
    </row>
    <row r="1186" spans="1:15" x14ac:dyDescent="0.2">
      <c r="A1186" s="567">
        <v>1575</v>
      </c>
      <c r="B1186" s="568" t="s">
        <v>1656</v>
      </c>
      <c r="C1186" s="568" t="s">
        <v>742</v>
      </c>
      <c r="D1186" s="567">
        <v>4321</v>
      </c>
      <c r="E1186" s="567">
        <v>32</v>
      </c>
      <c r="F1186" s="567">
        <v>17</v>
      </c>
      <c r="G1186" s="567">
        <v>235</v>
      </c>
      <c r="H1186" s="567">
        <v>2160</v>
      </c>
      <c r="O1186"/>
    </row>
    <row r="1187" spans="1:15" x14ac:dyDescent="0.2">
      <c r="A1187" s="567">
        <v>1574</v>
      </c>
      <c r="B1187" s="568" t="s">
        <v>1656</v>
      </c>
      <c r="C1187" s="568" t="s">
        <v>1656</v>
      </c>
      <c r="D1187" s="567">
        <v>4320</v>
      </c>
      <c r="E1187" s="567">
        <v>32</v>
      </c>
      <c r="F1187" s="567">
        <v>17</v>
      </c>
      <c r="G1187" s="567">
        <v>235</v>
      </c>
      <c r="H1187" s="567">
        <v>2160</v>
      </c>
      <c r="O1187"/>
    </row>
    <row r="1188" spans="1:15" x14ac:dyDescent="0.2">
      <c r="A1188" s="567">
        <v>1268</v>
      </c>
      <c r="B1188" s="568" t="s">
        <v>1254</v>
      </c>
      <c r="C1188" s="568" t="s">
        <v>1254</v>
      </c>
      <c r="D1188" s="567">
        <v>3430</v>
      </c>
      <c r="E1188" s="567">
        <v>29</v>
      </c>
      <c r="F1188" s="567">
        <v>3</v>
      </c>
      <c r="G1188" s="567">
        <v>215</v>
      </c>
      <c r="H1188" s="567">
        <v>2121</v>
      </c>
      <c r="O1188"/>
    </row>
    <row r="1189" spans="1:15" x14ac:dyDescent="0.2">
      <c r="A1189" s="567">
        <v>1017</v>
      </c>
      <c r="B1189" s="568" t="s">
        <v>1534</v>
      </c>
      <c r="C1189" s="568" t="s">
        <v>1533</v>
      </c>
      <c r="D1189" s="567">
        <v>2647</v>
      </c>
      <c r="E1189" s="567">
        <v>32</v>
      </c>
      <c r="F1189" s="567">
        <v>21</v>
      </c>
      <c r="G1189" s="567">
        <v>225</v>
      </c>
      <c r="H1189" s="567">
        <v>2140</v>
      </c>
      <c r="O1189"/>
    </row>
    <row r="1190" spans="1:15" x14ac:dyDescent="0.2">
      <c r="A1190" s="567">
        <v>1016</v>
      </c>
      <c r="B1190" s="568" t="s">
        <v>1534</v>
      </c>
      <c r="C1190" s="568" t="s">
        <v>1535</v>
      </c>
      <c r="D1190" s="567">
        <v>2646</v>
      </c>
      <c r="E1190" s="567">
        <v>32</v>
      </c>
      <c r="F1190" s="567">
        <v>21</v>
      </c>
      <c r="G1190" s="567">
        <v>225</v>
      </c>
      <c r="H1190" s="567">
        <v>2140</v>
      </c>
      <c r="O1190"/>
    </row>
    <row r="1191" spans="1:15" x14ac:dyDescent="0.2">
      <c r="A1191" s="567">
        <v>1015</v>
      </c>
      <c r="B1191" s="568" t="s">
        <v>1534</v>
      </c>
      <c r="C1191" s="568" t="s">
        <v>1536</v>
      </c>
      <c r="D1191" s="567">
        <v>2645</v>
      </c>
      <c r="E1191" s="567">
        <v>32</v>
      </c>
      <c r="F1191" s="567">
        <v>21</v>
      </c>
      <c r="G1191" s="567">
        <v>225</v>
      </c>
      <c r="H1191" s="567">
        <v>2140</v>
      </c>
      <c r="O1191"/>
    </row>
    <row r="1192" spans="1:15" x14ac:dyDescent="0.2">
      <c r="A1192" s="567">
        <v>1014</v>
      </c>
      <c r="B1192" s="568" t="s">
        <v>1534</v>
      </c>
      <c r="C1192" s="568" t="s">
        <v>1537</v>
      </c>
      <c r="D1192" s="567">
        <v>2644</v>
      </c>
      <c r="E1192" s="567">
        <v>32</v>
      </c>
      <c r="F1192" s="567">
        <v>21</v>
      </c>
      <c r="G1192" s="567">
        <v>225</v>
      </c>
      <c r="H1192" s="567">
        <v>2140</v>
      </c>
      <c r="O1192"/>
    </row>
    <row r="1193" spans="1:15" x14ac:dyDescent="0.2">
      <c r="A1193" s="567">
        <v>1013</v>
      </c>
      <c r="B1193" s="568" t="s">
        <v>1534</v>
      </c>
      <c r="C1193" s="568" t="s">
        <v>1538</v>
      </c>
      <c r="D1193" s="567">
        <v>2643</v>
      </c>
      <c r="E1193" s="567">
        <v>32</v>
      </c>
      <c r="F1193" s="567">
        <v>21</v>
      </c>
      <c r="G1193" s="567">
        <v>225</v>
      </c>
      <c r="H1193" s="567">
        <v>2140</v>
      </c>
      <c r="O1193"/>
    </row>
    <row r="1194" spans="1:15" x14ac:dyDescent="0.2">
      <c r="A1194" s="567">
        <v>1012</v>
      </c>
      <c r="B1194" s="568" t="s">
        <v>1534</v>
      </c>
      <c r="C1194" s="568" t="s">
        <v>1539</v>
      </c>
      <c r="D1194" s="567">
        <v>2642</v>
      </c>
      <c r="E1194" s="567">
        <v>32</v>
      </c>
      <c r="F1194" s="567">
        <v>21</v>
      </c>
      <c r="G1194" s="567">
        <v>225</v>
      </c>
      <c r="H1194" s="567">
        <v>2140</v>
      </c>
      <c r="O1194"/>
    </row>
    <row r="1195" spans="1:15" x14ac:dyDescent="0.2">
      <c r="A1195" s="567">
        <v>1011</v>
      </c>
      <c r="B1195" s="568" t="s">
        <v>1534</v>
      </c>
      <c r="C1195" s="568" t="s">
        <v>1540</v>
      </c>
      <c r="D1195" s="567">
        <v>2641</v>
      </c>
      <c r="E1195" s="567">
        <v>32</v>
      </c>
      <c r="F1195" s="567">
        <v>21</v>
      </c>
      <c r="G1195" s="567">
        <v>225</v>
      </c>
      <c r="H1195" s="567">
        <v>2140</v>
      </c>
      <c r="O1195"/>
    </row>
    <row r="1196" spans="1:15" x14ac:dyDescent="0.2">
      <c r="A1196" s="567">
        <v>1010</v>
      </c>
      <c r="B1196" s="568" t="s">
        <v>1534</v>
      </c>
      <c r="C1196" s="568" t="s">
        <v>1534</v>
      </c>
      <c r="D1196" s="567">
        <v>2640</v>
      </c>
      <c r="E1196" s="567">
        <v>32</v>
      </c>
      <c r="F1196" s="567">
        <v>21</v>
      </c>
      <c r="G1196" s="567">
        <v>225</v>
      </c>
      <c r="H1196" s="567">
        <v>2140</v>
      </c>
      <c r="O1196"/>
    </row>
    <row r="1197" spans="1:15" x14ac:dyDescent="0.2">
      <c r="A1197" s="567">
        <v>2060</v>
      </c>
      <c r="B1197" s="568" t="s">
        <v>814</v>
      </c>
      <c r="C1197" s="568" t="s">
        <v>814</v>
      </c>
      <c r="D1197" s="567">
        <v>5865</v>
      </c>
      <c r="E1197" s="567">
        <v>24</v>
      </c>
      <c r="F1197" s="567">
        <v>7</v>
      </c>
      <c r="G1197" s="567">
        <v>325</v>
      </c>
      <c r="H1197" s="567">
        <v>3160</v>
      </c>
      <c r="O1197"/>
    </row>
    <row r="1198" spans="1:15" x14ac:dyDescent="0.2">
      <c r="A1198" s="567">
        <v>367</v>
      </c>
      <c r="B1198" s="568" t="s">
        <v>578</v>
      </c>
      <c r="C1198" s="568" t="s">
        <v>577</v>
      </c>
      <c r="D1198" s="567">
        <v>655</v>
      </c>
      <c r="E1198" s="567">
        <v>111</v>
      </c>
      <c r="F1198" s="567">
        <v>2</v>
      </c>
      <c r="G1198" s="567">
        <v>125</v>
      </c>
      <c r="H1198" s="567">
        <v>1150</v>
      </c>
      <c r="O1198"/>
    </row>
    <row r="1199" spans="1:15" x14ac:dyDescent="0.2">
      <c r="A1199" s="567">
        <v>368</v>
      </c>
      <c r="B1199" s="568" t="s">
        <v>578</v>
      </c>
      <c r="C1199" s="568" t="s">
        <v>583</v>
      </c>
      <c r="D1199" s="567">
        <v>656</v>
      </c>
      <c r="E1199" s="567">
        <v>111</v>
      </c>
      <c r="F1199" s="567">
        <v>2</v>
      </c>
      <c r="G1199" s="567">
        <v>125</v>
      </c>
      <c r="H1199" s="567">
        <v>1150</v>
      </c>
      <c r="O1199"/>
    </row>
    <row r="1200" spans="1:15" x14ac:dyDescent="0.2">
      <c r="A1200" s="567">
        <v>369</v>
      </c>
      <c r="B1200" s="568" t="s">
        <v>578</v>
      </c>
      <c r="C1200" s="568" t="s">
        <v>584</v>
      </c>
      <c r="D1200" s="567">
        <v>657</v>
      </c>
      <c r="E1200" s="567">
        <v>111</v>
      </c>
      <c r="F1200" s="567">
        <v>2</v>
      </c>
      <c r="G1200" s="567">
        <v>125</v>
      </c>
      <c r="H1200" s="567">
        <v>1150</v>
      </c>
      <c r="O1200"/>
    </row>
    <row r="1201" spans="1:15" x14ac:dyDescent="0.2">
      <c r="A1201" s="567">
        <v>1958</v>
      </c>
      <c r="B1201" s="568" t="s">
        <v>1891</v>
      </c>
      <c r="C1201" s="568" t="s">
        <v>1890</v>
      </c>
      <c r="D1201" s="567">
        <v>5532</v>
      </c>
      <c r="E1201" s="567">
        <v>48</v>
      </c>
      <c r="F1201" s="567">
        <v>3</v>
      </c>
      <c r="G1201" s="567">
        <v>315</v>
      </c>
      <c r="H1201" s="567">
        <v>3120</v>
      </c>
      <c r="O1201"/>
    </row>
    <row r="1202" spans="1:15" x14ac:dyDescent="0.2">
      <c r="A1202" s="567">
        <v>1957</v>
      </c>
      <c r="B1202" s="568" t="s">
        <v>1891</v>
      </c>
      <c r="C1202" s="568" t="s">
        <v>1894</v>
      </c>
      <c r="D1202" s="567">
        <v>5531</v>
      </c>
      <c r="E1202" s="567">
        <v>48</v>
      </c>
      <c r="F1202" s="567">
        <v>3</v>
      </c>
      <c r="G1202" s="567">
        <v>315</v>
      </c>
      <c r="H1202" s="567">
        <v>3120</v>
      </c>
      <c r="O1202"/>
    </row>
    <row r="1203" spans="1:15" x14ac:dyDescent="0.2">
      <c r="A1203" s="567">
        <v>1956</v>
      </c>
      <c r="B1203" s="568" t="s">
        <v>1891</v>
      </c>
      <c r="C1203" s="568" t="s">
        <v>1891</v>
      </c>
      <c r="D1203" s="567">
        <v>5530</v>
      </c>
      <c r="E1203" s="567">
        <v>48</v>
      </c>
      <c r="F1203" s="567">
        <v>3</v>
      </c>
      <c r="G1203" s="567">
        <v>315</v>
      </c>
      <c r="H1203" s="567">
        <v>3120</v>
      </c>
      <c r="O1203"/>
    </row>
    <row r="1204" spans="1:15" x14ac:dyDescent="0.2">
      <c r="A1204" s="567">
        <v>2531</v>
      </c>
      <c r="B1204" s="568" t="s">
        <v>2027</v>
      </c>
      <c r="C1204" s="568" t="s">
        <v>2027</v>
      </c>
      <c r="D1204" s="567">
        <v>7265</v>
      </c>
      <c r="E1204" s="567">
        <v>34</v>
      </c>
      <c r="F1204" s="567">
        <v>5</v>
      </c>
      <c r="G1204" s="567">
        <v>336</v>
      </c>
      <c r="H1204" s="567">
        <v>3130</v>
      </c>
      <c r="O1204"/>
    </row>
    <row r="1205" spans="1:15" x14ac:dyDescent="0.2">
      <c r="A1205" s="567">
        <v>1802</v>
      </c>
      <c r="B1205" s="568" t="s">
        <v>2159</v>
      </c>
      <c r="C1205" s="568" t="s">
        <v>676</v>
      </c>
      <c r="D1205" s="567">
        <v>4960</v>
      </c>
      <c r="E1205" s="567">
        <v>40</v>
      </c>
      <c r="F1205" s="567">
        <v>5</v>
      </c>
      <c r="G1205" s="567">
        <v>317</v>
      </c>
      <c r="H1205" s="567">
        <v>3140</v>
      </c>
      <c r="O1205"/>
    </row>
    <row r="1206" spans="1:15" x14ac:dyDescent="0.2">
      <c r="A1206" s="567">
        <v>1803</v>
      </c>
      <c r="B1206" s="568" t="s">
        <v>2159</v>
      </c>
      <c r="C1206" s="568" t="s">
        <v>2160</v>
      </c>
      <c r="D1206" s="567">
        <v>4961</v>
      </c>
      <c r="E1206" s="567">
        <v>40</v>
      </c>
      <c r="F1206" s="567">
        <v>5</v>
      </c>
      <c r="G1206" s="567">
        <v>317</v>
      </c>
      <c r="H1206" s="567">
        <v>3140</v>
      </c>
      <c r="O1206"/>
    </row>
    <row r="1207" spans="1:15" x14ac:dyDescent="0.2">
      <c r="A1207" s="567">
        <v>1126</v>
      </c>
      <c r="B1207" s="568" t="s">
        <v>1489</v>
      </c>
      <c r="C1207" s="568" t="s">
        <v>1488</v>
      </c>
      <c r="D1207" s="567">
        <v>2911</v>
      </c>
      <c r="E1207" s="567">
        <v>33</v>
      </c>
      <c r="F1207" s="567">
        <v>1</v>
      </c>
      <c r="G1207" s="567">
        <v>225</v>
      </c>
      <c r="H1207" s="567">
        <v>2140</v>
      </c>
      <c r="O1207"/>
    </row>
    <row r="1208" spans="1:15" x14ac:dyDescent="0.2">
      <c r="A1208" s="567">
        <v>1125</v>
      </c>
      <c r="B1208" s="568" t="s">
        <v>1489</v>
      </c>
      <c r="C1208" s="568" t="s">
        <v>1489</v>
      </c>
      <c r="D1208" s="567">
        <v>2910</v>
      </c>
      <c r="E1208" s="567">
        <v>33</v>
      </c>
      <c r="F1208" s="567">
        <v>1</v>
      </c>
      <c r="G1208" s="567">
        <v>225</v>
      </c>
      <c r="H1208" s="567">
        <v>2140</v>
      </c>
      <c r="O1208"/>
    </row>
    <row r="1209" spans="1:15" x14ac:dyDescent="0.2">
      <c r="A1209" s="567">
        <v>847</v>
      </c>
      <c r="B1209" s="568" t="s">
        <v>436</v>
      </c>
      <c r="C1209" s="568" t="s">
        <v>436</v>
      </c>
      <c r="D1209" s="567">
        <v>2125</v>
      </c>
      <c r="E1209" s="567">
        <v>29</v>
      </c>
      <c r="F1209" s="567">
        <v>18</v>
      </c>
      <c r="G1209" s="567">
        <v>117</v>
      </c>
      <c r="H1209" s="567">
        <v>1130</v>
      </c>
      <c r="O1209"/>
    </row>
    <row r="1210" spans="1:15" x14ac:dyDescent="0.2">
      <c r="A1210" s="567">
        <v>1807</v>
      </c>
      <c r="B1210" s="568" t="s">
        <v>2165</v>
      </c>
      <c r="C1210" s="568" t="s">
        <v>1561</v>
      </c>
      <c r="D1210" s="567">
        <v>4981</v>
      </c>
      <c r="E1210" s="567">
        <v>41</v>
      </c>
      <c r="F1210" s="567">
        <v>5</v>
      </c>
      <c r="G1210" s="567">
        <v>317</v>
      </c>
      <c r="H1210" s="567">
        <v>3140</v>
      </c>
      <c r="O1210"/>
    </row>
    <row r="1211" spans="1:15" x14ac:dyDescent="0.2">
      <c r="A1211" s="567">
        <v>1806</v>
      </c>
      <c r="B1211" s="568" t="s">
        <v>2165</v>
      </c>
      <c r="C1211" s="568" t="s">
        <v>2165</v>
      </c>
      <c r="D1211" s="567">
        <v>4980</v>
      </c>
      <c r="E1211" s="567">
        <v>41</v>
      </c>
      <c r="F1211" s="567">
        <v>5</v>
      </c>
      <c r="G1211" s="567">
        <v>317</v>
      </c>
      <c r="H1211" s="567">
        <v>3140</v>
      </c>
      <c r="O1211"/>
    </row>
    <row r="1212" spans="1:15" x14ac:dyDescent="0.2">
      <c r="A1212" s="567">
        <v>2948</v>
      </c>
      <c r="B1212" s="568" t="s">
        <v>3282</v>
      </c>
      <c r="C1212" s="568" t="s">
        <v>430</v>
      </c>
      <c r="D1212" s="567">
        <v>8495</v>
      </c>
      <c r="E1212" s="567">
        <v>55</v>
      </c>
      <c r="F1212" s="567">
        <v>12</v>
      </c>
      <c r="G1212" s="567">
        <v>425</v>
      </c>
      <c r="H1212" s="567">
        <v>4170</v>
      </c>
      <c r="O1212"/>
    </row>
    <row r="1213" spans="1:15" x14ac:dyDescent="0.2">
      <c r="A1213" s="567">
        <v>2804</v>
      </c>
      <c r="B1213" s="568" t="s">
        <v>2622</v>
      </c>
      <c r="C1213" s="568" t="s">
        <v>430</v>
      </c>
      <c r="D1213" s="567">
        <v>8035</v>
      </c>
      <c r="E1213" s="567">
        <v>29</v>
      </c>
      <c r="F1213" s="567">
        <v>16</v>
      </c>
      <c r="G1213" s="567">
        <v>417</v>
      </c>
      <c r="H1213" s="567">
        <v>4100</v>
      </c>
      <c r="O1213"/>
    </row>
    <row r="1214" spans="1:15" x14ac:dyDescent="0.2">
      <c r="A1214" s="567">
        <v>2522</v>
      </c>
      <c r="B1214" s="568" t="s">
        <v>2091</v>
      </c>
      <c r="C1214" s="568" t="s">
        <v>430</v>
      </c>
      <c r="D1214" s="567">
        <v>7245</v>
      </c>
      <c r="E1214" s="567">
        <v>36</v>
      </c>
      <c r="F1214" s="567">
        <v>5</v>
      </c>
      <c r="G1214" s="567">
        <v>336</v>
      </c>
      <c r="H1214" s="567">
        <v>3130</v>
      </c>
      <c r="O1214"/>
    </row>
    <row r="1215" spans="1:15" x14ac:dyDescent="0.2">
      <c r="A1215" s="567">
        <v>2189</v>
      </c>
      <c r="B1215" s="568" t="s">
        <v>2461</v>
      </c>
      <c r="C1215" s="568" t="s">
        <v>430</v>
      </c>
      <c r="D1215" s="567">
        <v>6290</v>
      </c>
      <c r="E1215" s="567">
        <v>23</v>
      </c>
      <c r="F1215" s="567">
        <v>16</v>
      </c>
      <c r="G1215" s="567">
        <v>327</v>
      </c>
      <c r="H1215" s="567">
        <v>3170</v>
      </c>
      <c r="O1215"/>
    </row>
    <row r="1216" spans="1:15" x14ac:dyDescent="0.2">
      <c r="A1216" s="567">
        <v>2368</v>
      </c>
      <c r="B1216" s="568" t="s">
        <v>2553</v>
      </c>
      <c r="C1216" s="568" t="s">
        <v>2553</v>
      </c>
      <c r="D1216" s="567">
        <v>6810</v>
      </c>
      <c r="E1216" s="567">
        <v>45</v>
      </c>
      <c r="F1216" s="567">
        <v>6</v>
      </c>
      <c r="G1216" s="567">
        <v>337</v>
      </c>
      <c r="H1216" s="567">
        <v>3180</v>
      </c>
      <c r="O1216"/>
    </row>
    <row r="1217" spans="1:15" x14ac:dyDescent="0.2">
      <c r="A1217" s="567">
        <v>2717</v>
      </c>
      <c r="B1217" s="568" t="s">
        <v>2879</v>
      </c>
      <c r="C1217" s="568" t="s">
        <v>2878</v>
      </c>
      <c r="D1217" s="567">
        <v>7812</v>
      </c>
      <c r="E1217" s="567">
        <v>34</v>
      </c>
      <c r="F1217" s="567">
        <v>14</v>
      </c>
      <c r="G1217" s="567">
        <v>415</v>
      </c>
      <c r="H1217" s="567">
        <v>4131</v>
      </c>
      <c r="O1217"/>
    </row>
    <row r="1218" spans="1:15" x14ac:dyDescent="0.2">
      <c r="A1218" s="567">
        <v>2715</v>
      </c>
      <c r="B1218" s="568" t="s">
        <v>2879</v>
      </c>
      <c r="C1218" s="568" t="s">
        <v>2879</v>
      </c>
      <c r="D1218" s="567">
        <v>7810</v>
      </c>
      <c r="E1218" s="567">
        <v>34</v>
      </c>
      <c r="F1218" s="567">
        <v>14</v>
      </c>
      <c r="G1218" s="567">
        <v>415</v>
      </c>
      <c r="H1218" s="567">
        <v>4131</v>
      </c>
      <c r="O1218"/>
    </row>
    <row r="1219" spans="1:15" x14ac:dyDescent="0.2">
      <c r="A1219" s="567">
        <v>2716</v>
      </c>
      <c r="B1219" s="568" t="s">
        <v>2879</v>
      </c>
      <c r="C1219" s="568" t="s">
        <v>2946</v>
      </c>
      <c r="D1219" s="567">
        <v>7811</v>
      </c>
      <c r="E1219" s="567">
        <v>34</v>
      </c>
      <c r="F1219" s="567">
        <v>14</v>
      </c>
      <c r="G1219" s="567">
        <v>415</v>
      </c>
      <c r="H1219" s="567">
        <v>4131</v>
      </c>
      <c r="O1219"/>
    </row>
    <row r="1220" spans="1:15" x14ac:dyDescent="0.2">
      <c r="A1220" s="567">
        <v>2718</v>
      </c>
      <c r="B1220" s="568" t="s">
        <v>2879</v>
      </c>
      <c r="C1220" s="568" t="s">
        <v>2947</v>
      </c>
      <c r="D1220" s="567">
        <v>7813</v>
      </c>
      <c r="E1220" s="567">
        <v>34</v>
      </c>
      <c r="F1220" s="567">
        <v>14</v>
      </c>
      <c r="G1220" s="567">
        <v>415</v>
      </c>
      <c r="H1220" s="567">
        <v>4131</v>
      </c>
      <c r="O1220"/>
    </row>
    <row r="1221" spans="1:15" x14ac:dyDescent="0.2">
      <c r="A1221" s="567">
        <v>2719</v>
      </c>
      <c r="B1221" s="568" t="s">
        <v>2879</v>
      </c>
      <c r="C1221" s="568" t="s">
        <v>2964</v>
      </c>
      <c r="D1221" s="567">
        <v>7814</v>
      </c>
      <c r="E1221" s="567">
        <v>34</v>
      </c>
      <c r="F1221" s="567">
        <v>14</v>
      </c>
      <c r="G1221" s="567">
        <v>415</v>
      </c>
      <c r="H1221" s="567">
        <v>4131</v>
      </c>
      <c r="O1221"/>
    </row>
    <row r="1222" spans="1:15" x14ac:dyDescent="0.2">
      <c r="A1222" s="567">
        <v>2744</v>
      </c>
      <c r="B1222" s="568" t="s">
        <v>2619</v>
      </c>
      <c r="C1222" s="568" t="s">
        <v>2619</v>
      </c>
      <c r="D1222" s="567">
        <v>7890</v>
      </c>
      <c r="E1222" s="567">
        <v>31</v>
      </c>
      <c r="F1222" s="567">
        <v>16</v>
      </c>
      <c r="G1222" s="567">
        <v>417</v>
      </c>
      <c r="H1222" s="567">
        <v>4100</v>
      </c>
      <c r="O1222"/>
    </row>
    <row r="1223" spans="1:15" x14ac:dyDescent="0.2">
      <c r="A1223" s="567">
        <v>2746</v>
      </c>
      <c r="B1223" s="568" t="s">
        <v>2619</v>
      </c>
      <c r="C1223" s="568" t="s">
        <v>838</v>
      </c>
      <c r="D1223" s="567">
        <v>7892</v>
      </c>
      <c r="E1223" s="567">
        <v>31</v>
      </c>
      <c r="F1223" s="567">
        <v>16</v>
      </c>
      <c r="G1223" s="567">
        <v>417</v>
      </c>
      <c r="H1223" s="567">
        <v>4100</v>
      </c>
      <c r="O1223"/>
    </row>
    <row r="1224" spans="1:15" x14ac:dyDescent="0.2">
      <c r="A1224" s="567">
        <v>2752</v>
      </c>
      <c r="B1224" s="568" t="s">
        <v>2619</v>
      </c>
      <c r="C1224" s="568" t="s">
        <v>824</v>
      </c>
      <c r="D1224" s="567">
        <v>7898</v>
      </c>
      <c r="E1224" s="567">
        <v>31</v>
      </c>
      <c r="F1224" s="567">
        <v>16</v>
      </c>
      <c r="G1224" s="567">
        <v>417</v>
      </c>
      <c r="H1224" s="567">
        <v>4100</v>
      </c>
      <c r="O1224"/>
    </row>
    <row r="1225" spans="1:15" x14ac:dyDescent="0.2">
      <c r="A1225" s="567">
        <v>2751</v>
      </c>
      <c r="B1225" s="568" t="s">
        <v>2619</v>
      </c>
      <c r="C1225" s="568" t="s">
        <v>2638</v>
      </c>
      <c r="D1225" s="567">
        <v>7897</v>
      </c>
      <c r="E1225" s="567">
        <v>31</v>
      </c>
      <c r="F1225" s="567">
        <v>16</v>
      </c>
      <c r="G1225" s="567">
        <v>417</v>
      </c>
      <c r="H1225" s="567">
        <v>4100</v>
      </c>
      <c r="O1225"/>
    </row>
    <row r="1226" spans="1:15" x14ac:dyDescent="0.2">
      <c r="A1226" s="567">
        <v>2750</v>
      </c>
      <c r="B1226" s="568" t="s">
        <v>2619</v>
      </c>
      <c r="C1226" s="568" t="s">
        <v>589</v>
      </c>
      <c r="D1226" s="567">
        <v>7896</v>
      </c>
      <c r="E1226" s="567">
        <v>31</v>
      </c>
      <c r="F1226" s="567">
        <v>16</v>
      </c>
      <c r="G1226" s="567">
        <v>417</v>
      </c>
      <c r="H1226" s="567">
        <v>4100</v>
      </c>
      <c r="O1226"/>
    </row>
    <row r="1227" spans="1:15" x14ac:dyDescent="0.2">
      <c r="A1227" s="567">
        <v>2749</v>
      </c>
      <c r="B1227" s="568" t="s">
        <v>2619</v>
      </c>
      <c r="C1227" s="568" t="s">
        <v>2639</v>
      </c>
      <c r="D1227" s="567">
        <v>7895</v>
      </c>
      <c r="E1227" s="567">
        <v>31</v>
      </c>
      <c r="F1227" s="567">
        <v>16</v>
      </c>
      <c r="G1227" s="567">
        <v>417</v>
      </c>
      <c r="H1227" s="567">
        <v>4100</v>
      </c>
      <c r="O1227"/>
    </row>
    <row r="1228" spans="1:15" x14ac:dyDescent="0.2">
      <c r="A1228" s="567">
        <v>2748</v>
      </c>
      <c r="B1228" s="568" t="s">
        <v>2619</v>
      </c>
      <c r="C1228" s="568" t="s">
        <v>1897</v>
      </c>
      <c r="D1228" s="567">
        <v>7894</v>
      </c>
      <c r="E1228" s="567">
        <v>31</v>
      </c>
      <c r="F1228" s="567">
        <v>16</v>
      </c>
      <c r="G1228" s="567">
        <v>417</v>
      </c>
      <c r="H1228" s="567">
        <v>4100</v>
      </c>
      <c r="O1228"/>
    </row>
    <row r="1229" spans="1:15" x14ac:dyDescent="0.2">
      <c r="A1229" s="567">
        <v>2747</v>
      </c>
      <c r="B1229" s="568" t="s">
        <v>2619</v>
      </c>
      <c r="C1229" s="568" t="s">
        <v>424</v>
      </c>
      <c r="D1229" s="567">
        <v>7893</v>
      </c>
      <c r="E1229" s="567">
        <v>31</v>
      </c>
      <c r="F1229" s="567">
        <v>16</v>
      </c>
      <c r="G1229" s="567">
        <v>417</v>
      </c>
      <c r="H1229" s="567">
        <v>4100</v>
      </c>
      <c r="O1229"/>
    </row>
    <row r="1230" spans="1:15" x14ac:dyDescent="0.2">
      <c r="A1230" s="567">
        <v>2745</v>
      </c>
      <c r="B1230" s="568" t="s">
        <v>2619</v>
      </c>
      <c r="C1230" s="568" t="s">
        <v>2650</v>
      </c>
      <c r="D1230" s="567">
        <v>7891</v>
      </c>
      <c r="E1230" s="567">
        <v>31</v>
      </c>
      <c r="F1230" s="567">
        <v>16</v>
      </c>
      <c r="G1230" s="567">
        <v>417</v>
      </c>
      <c r="H1230" s="567">
        <v>4100</v>
      </c>
      <c r="O1230"/>
    </row>
    <row r="1231" spans="1:15" x14ac:dyDescent="0.2">
      <c r="A1231" s="567">
        <v>1151</v>
      </c>
      <c r="B1231" s="568" t="s">
        <v>1368</v>
      </c>
      <c r="C1231" s="568" t="s">
        <v>1368</v>
      </c>
      <c r="D1231" s="567">
        <v>3005</v>
      </c>
      <c r="E1231" s="567">
        <v>27</v>
      </c>
      <c r="F1231" s="567">
        <v>19</v>
      </c>
      <c r="G1231" s="567">
        <v>226</v>
      </c>
      <c r="H1231" s="567">
        <v>2130</v>
      </c>
      <c r="O1231"/>
    </row>
    <row r="1232" spans="1:15" x14ac:dyDescent="0.2">
      <c r="A1232" s="567">
        <v>1138</v>
      </c>
      <c r="B1232" s="568" t="s">
        <v>1374</v>
      </c>
      <c r="C1232" s="568" t="s">
        <v>1374</v>
      </c>
      <c r="D1232" s="567">
        <v>2955</v>
      </c>
      <c r="E1232" s="567">
        <v>28</v>
      </c>
      <c r="F1232" s="567">
        <v>1</v>
      </c>
      <c r="G1232" s="567">
        <v>226</v>
      </c>
      <c r="H1232" s="567">
        <v>2130</v>
      </c>
      <c r="O1232"/>
    </row>
    <row r="1233" spans="1:15" x14ac:dyDescent="0.2">
      <c r="A1233" s="567">
        <v>1236</v>
      </c>
      <c r="B1233" s="568" t="s">
        <v>1428</v>
      </c>
      <c r="C1233" s="568" t="s">
        <v>1428</v>
      </c>
      <c r="D1233" s="567">
        <v>3320</v>
      </c>
      <c r="E1233" s="567">
        <v>0</v>
      </c>
      <c r="F1233" s="567">
        <v>1</v>
      </c>
      <c r="G1233" s="567">
        <v>221</v>
      </c>
      <c r="H1233" s="567">
        <v>2130</v>
      </c>
      <c r="O1233"/>
    </row>
    <row r="1234" spans="1:15" x14ac:dyDescent="0.2">
      <c r="A1234" s="567">
        <v>984</v>
      </c>
      <c r="B1234" s="568" t="s">
        <v>490</v>
      </c>
      <c r="C1234" s="568" t="s">
        <v>489</v>
      </c>
      <c r="D1234" s="567">
        <v>2551</v>
      </c>
      <c r="E1234" s="567">
        <v>19</v>
      </c>
      <c r="F1234" s="567">
        <v>14</v>
      </c>
      <c r="G1234" s="567">
        <v>135</v>
      </c>
      <c r="H1234" s="567">
        <v>1140</v>
      </c>
      <c r="O1234"/>
    </row>
    <row r="1235" spans="1:15" x14ac:dyDescent="0.2">
      <c r="A1235" s="567">
        <v>983</v>
      </c>
      <c r="B1235" s="568" t="s">
        <v>490</v>
      </c>
      <c r="C1235" s="568" t="s">
        <v>513</v>
      </c>
      <c r="D1235" s="567">
        <v>2550</v>
      </c>
      <c r="E1235" s="567">
        <v>19</v>
      </c>
      <c r="F1235" s="567">
        <v>14</v>
      </c>
      <c r="G1235" s="567">
        <v>135</v>
      </c>
      <c r="H1235" s="567">
        <v>1140</v>
      </c>
      <c r="O1235"/>
    </row>
    <row r="1236" spans="1:15" x14ac:dyDescent="0.2">
      <c r="A1236" s="567">
        <v>474</v>
      </c>
      <c r="B1236" s="568" t="s">
        <v>517</v>
      </c>
      <c r="C1236" s="568" t="s">
        <v>516</v>
      </c>
      <c r="D1236" s="567">
        <v>912</v>
      </c>
      <c r="E1236" s="567">
        <v>0</v>
      </c>
      <c r="F1236" s="567">
        <v>1</v>
      </c>
      <c r="G1236" s="567">
        <v>121</v>
      </c>
      <c r="H1236" s="567">
        <v>1150</v>
      </c>
      <c r="O1236"/>
    </row>
    <row r="1237" spans="1:15" x14ac:dyDescent="0.2">
      <c r="A1237" s="567">
        <v>477</v>
      </c>
      <c r="B1237" s="568" t="s">
        <v>517</v>
      </c>
      <c r="C1237" s="568" t="s">
        <v>526</v>
      </c>
      <c r="D1237" s="567">
        <v>915</v>
      </c>
      <c r="E1237" s="567">
        <v>0</v>
      </c>
      <c r="F1237" s="567">
        <v>1</v>
      </c>
      <c r="G1237" s="567">
        <v>121</v>
      </c>
      <c r="H1237" s="567">
        <v>1150</v>
      </c>
      <c r="O1237"/>
    </row>
    <row r="1238" spans="1:15" x14ac:dyDescent="0.2">
      <c r="A1238" s="567">
        <v>472</v>
      </c>
      <c r="B1238" s="568" t="s">
        <v>517</v>
      </c>
      <c r="C1238" s="568" t="s">
        <v>517</v>
      </c>
      <c r="D1238" s="567">
        <v>910</v>
      </c>
      <c r="E1238" s="567">
        <v>0</v>
      </c>
      <c r="F1238" s="567">
        <v>1</v>
      </c>
      <c r="G1238" s="567">
        <v>121</v>
      </c>
      <c r="H1238" s="567">
        <v>1150</v>
      </c>
      <c r="O1238"/>
    </row>
    <row r="1239" spans="1:15" x14ac:dyDescent="0.2">
      <c r="A1239" s="567">
        <v>475</v>
      </c>
      <c r="B1239" s="568" t="s">
        <v>517</v>
      </c>
      <c r="C1239" s="568" t="s">
        <v>527</v>
      </c>
      <c r="D1239" s="567">
        <v>913</v>
      </c>
      <c r="E1239" s="567">
        <v>0</v>
      </c>
      <c r="F1239" s="567">
        <v>1</v>
      </c>
      <c r="G1239" s="567">
        <v>121</v>
      </c>
      <c r="H1239" s="567">
        <v>1150</v>
      </c>
      <c r="O1239"/>
    </row>
    <row r="1240" spans="1:15" x14ac:dyDescent="0.2">
      <c r="A1240" s="567">
        <v>476</v>
      </c>
      <c r="B1240" s="568" t="s">
        <v>517</v>
      </c>
      <c r="C1240" s="568" t="s">
        <v>528</v>
      </c>
      <c r="D1240" s="567">
        <v>914</v>
      </c>
      <c r="E1240" s="567">
        <v>0</v>
      </c>
      <c r="F1240" s="567">
        <v>1</v>
      </c>
      <c r="G1240" s="567">
        <v>121</v>
      </c>
      <c r="H1240" s="567">
        <v>1150</v>
      </c>
      <c r="O1240"/>
    </row>
    <row r="1241" spans="1:15" x14ac:dyDescent="0.2">
      <c r="A1241" s="567">
        <v>473</v>
      </c>
      <c r="B1241" s="568" t="s">
        <v>517</v>
      </c>
      <c r="C1241" s="568" t="s">
        <v>581</v>
      </c>
      <c r="D1241" s="567">
        <v>911</v>
      </c>
      <c r="E1241" s="567">
        <v>0</v>
      </c>
      <c r="F1241" s="567">
        <v>1</v>
      </c>
      <c r="G1241" s="567">
        <v>121</v>
      </c>
      <c r="H1241" s="567">
        <v>1150</v>
      </c>
      <c r="O1241"/>
    </row>
    <row r="1242" spans="1:15" x14ac:dyDescent="0.2">
      <c r="A1242" s="567">
        <v>3336</v>
      </c>
      <c r="B1242" s="568" t="s">
        <v>3119</v>
      </c>
      <c r="C1242" s="568" t="s">
        <v>3118</v>
      </c>
      <c r="D1242" s="567">
        <v>9742</v>
      </c>
      <c r="E1242" s="567">
        <v>20</v>
      </c>
      <c r="F1242" s="567">
        <v>11</v>
      </c>
      <c r="G1242" s="567">
        <v>435</v>
      </c>
      <c r="H1242" s="567">
        <v>4160</v>
      </c>
      <c r="O1242"/>
    </row>
    <row r="1243" spans="1:15" x14ac:dyDescent="0.2">
      <c r="A1243" s="567">
        <v>3335</v>
      </c>
      <c r="B1243" s="568" t="s">
        <v>3119</v>
      </c>
      <c r="C1243" s="568" t="s">
        <v>3127</v>
      </c>
      <c r="D1243" s="567">
        <v>9741</v>
      </c>
      <c r="E1243" s="567">
        <v>20</v>
      </c>
      <c r="F1243" s="567">
        <v>11</v>
      </c>
      <c r="G1243" s="567">
        <v>435</v>
      </c>
      <c r="H1243" s="567">
        <v>4160</v>
      </c>
      <c r="O1243"/>
    </row>
    <row r="1244" spans="1:15" x14ac:dyDescent="0.2">
      <c r="A1244" s="567">
        <v>3334</v>
      </c>
      <c r="B1244" s="568" t="s">
        <v>3119</v>
      </c>
      <c r="C1244" s="568" t="s">
        <v>3119</v>
      </c>
      <c r="D1244" s="567">
        <v>9740</v>
      </c>
      <c r="E1244" s="567">
        <v>20</v>
      </c>
      <c r="F1244" s="567">
        <v>11</v>
      </c>
      <c r="G1244" s="567">
        <v>435</v>
      </c>
      <c r="H1244" s="567">
        <v>4160</v>
      </c>
      <c r="O1244"/>
    </row>
    <row r="1245" spans="1:15" x14ac:dyDescent="0.2">
      <c r="A1245" s="567">
        <v>1149</v>
      </c>
      <c r="B1245" s="568" t="s">
        <v>1361</v>
      </c>
      <c r="C1245" s="568" t="s">
        <v>1361</v>
      </c>
      <c r="D1245" s="567">
        <v>3000</v>
      </c>
      <c r="E1245" s="567">
        <v>29</v>
      </c>
      <c r="F1245" s="567">
        <v>19</v>
      </c>
      <c r="G1245" s="567">
        <v>226</v>
      </c>
      <c r="H1245" s="567">
        <v>2130</v>
      </c>
      <c r="O1245"/>
    </row>
    <row r="1246" spans="1:15" x14ac:dyDescent="0.2">
      <c r="A1246" s="567">
        <v>1150</v>
      </c>
      <c r="B1246" s="568" t="s">
        <v>1361</v>
      </c>
      <c r="C1246" s="568" t="s">
        <v>1362</v>
      </c>
      <c r="D1246" s="567">
        <v>3001</v>
      </c>
      <c r="E1246" s="567">
        <v>29</v>
      </c>
      <c r="F1246" s="567">
        <v>19</v>
      </c>
      <c r="G1246" s="567">
        <v>226</v>
      </c>
      <c r="H1246" s="567">
        <v>2130</v>
      </c>
      <c r="O1246"/>
    </row>
    <row r="1247" spans="1:15" x14ac:dyDescent="0.2">
      <c r="A1247" s="567">
        <v>1452</v>
      </c>
      <c r="B1247" s="568" t="s">
        <v>1574</v>
      </c>
      <c r="C1247" s="568" t="s">
        <v>1574</v>
      </c>
      <c r="D1247" s="567">
        <v>3990</v>
      </c>
      <c r="E1247" s="567">
        <v>25</v>
      </c>
      <c r="F1247" s="567">
        <v>17</v>
      </c>
      <c r="G1247" s="567">
        <v>236</v>
      </c>
      <c r="H1247" s="567">
        <v>2150</v>
      </c>
      <c r="O1247"/>
    </row>
    <row r="1248" spans="1:15" x14ac:dyDescent="0.2">
      <c r="A1248" s="567">
        <v>845</v>
      </c>
      <c r="B1248" s="568" t="s">
        <v>222</v>
      </c>
      <c r="C1248" s="568" t="s">
        <v>222</v>
      </c>
      <c r="D1248" s="567">
        <v>2115</v>
      </c>
      <c r="E1248" s="567">
        <v>30</v>
      </c>
      <c r="F1248" s="567">
        <v>18</v>
      </c>
      <c r="G1248" s="567">
        <v>117</v>
      </c>
      <c r="H1248" s="567">
        <v>1130</v>
      </c>
      <c r="O1248"/>
    </row>
    <row r="1249" spans="1:15" x14ac:dyDescent="0.2">
      <c r="A1249" s="567">
        <v>1960</v>
      </c>
      <c r="B1249" s="568" t="s">
        <v>1982</v>
      </c>
      <c r="C1249" s="568" t="s">
        <v>1982</v>
      </c>
      <c r="D1249" s="567">
        <v>5550</v>
      </c>
      <c r="E1249" s="567">
        <v>50</v>
      </c>
      <c r="F1249" s="567">
        <v>3</v>
      </c>
      <c r="G1249" s="567">
        <v>315</v>
      </c>
      <c r="H1249" s="567">
        <v>3120</v>
      </c>
      <c r="O1249"/>
    </row>
    <row r="1250" spans="1:15" x14ac:dyDescent="0.2">
      <c r="A1250" s="567">
        <v>1961</v>
      </c>
      <c r="B1250" s="568" t="s">
        <v>1982</v>
      </c>
      <c r="C1250" s="568" t="s">
        <v>2004</v>
      </c>
      <c r="D1250" s="567">
        <v>5551</v>
      </c>
      <c r="E1250" s="567">
        <v>50</v>
      </c>
      <c r="F1250" s="567">
        <v>3</v>
      </c>
      <c r="G1250" s="567">
        <v>315</v>
      </c>
      <c r="H1250" s="567">
        <v>3120</v>
      </c>
      <c r="O1250"/>
    </row>
    <row r="1251" spans="1:15" x14ac:dyDescent="0.2">
      <c r="A1251" s="567">
        <v>1193</v>
      </c>
      <c r="B1251" s="568" t="s">
        <v>1441</v>
      </c>
      <c r="C1251" s="568" t="s">
        <v>1440</v>
      </c>
      <c r="D1251" s="567">
        <v>3170</v>
      </c>
      <c r="E1251" s="567">
        <v>106</v>
      </c>
      <c r="F1251" s="567">
        <v>2</v>
      </c>
      <c r="G1251" s="567">
        <v>226</v>
      </c>
      <c r="H1251" s="567">
        <v>2130</v>
      </c>
      <c r="O1251"/>
    </row>
    <row r="1252" spans="1:15" x14ac:dyDescent="0.2">
      <c r="A1252" s="567">
        <v>1195</v>
      </c>
      <c r="B1252" s="568" t="s">
        <v>1441</v>
      </c>
      <c r="C1252" s="568" t="s">
        <v>1443</v>
      </c>
      <c r="D1252" s="567">
        <v>3172</v>
      </c>
      <c r="E1252" s="567">
        <v>106</v>
      </c>
      <c r="F1252" s="567">
        <v>2</v>
      </c>
      <c r="G1252" s="567">
        <v>226</v>
      </c>
      <c r="H1252" s="567">
        <v>2130</v>
      </c>
      <c r="O1252"/>
    </row>
    <row r="1253" spans="1:15" x14ac:dyDescent="0.2">
      <c r="A1253" s="567">
        <v>1194</v>
      </c>
      <c r="B1253" s="568" t="s">
        <v>1441</v>
      </c>
      <c r="C1253" s="568" t="s">
        <v>1455</v>
      </c>
      <c r="D1253" s="567">
        <v>3171</v>
      </c>
      <c r="E1253" s="567">
        <v>106</v>
      </c>
      <c r="F1253" s="567">
        <v>2</v>
      </c>
      <c r="G1253" s="567">
        <v>226</v>
      </c>
      <c r="H1253" s="567">
        <v>2130</v>
      </c>
      <c r="O1253"/>
    </row>
    <row r="1254" spans="1:15" x14ac:dyDescent="0.2">
      <c r="A1254" s="567">
        <v>548</v>
      </c>
      <c r="B1254" s="568" t="s">
        <v>751</v>
      </c>
      <c r="C1254" s="568" t="s">
        <v>751</v>
      </c>
      <c r="D1254" s="567">
        <v>1145</v>
      </c>
      <c r="E1254" s="567">
        <v>27</v>
      </c>
      <c r="F1254" s="567">
        <v>1</v>
      </c>
      <c r="G1254" s="567">
        <v>118</v>
      </c>
      <c r="H1254" s="567">
        <v>1170</v>
      </c>
      <c r="O1254"/>
    </row>
    <row r="1255" spans="1:15" x14ac:dyDescent="0.2">
      <c r="A1255" s="567">
        <v>1130</v>
      </c>
      <c r="B1255" s="568" t="s">
        <v>1386</v>
      </c>
      <c r="C1255" s="568" t="s">
        <v>1386</v>
      </c>
      <c r="D1255" s="567">
        <v>2935</v>
      </c>
      <c r="E1255" s="567">
        <v>31</v>
      </c>
      <c r="F1255" s="567">
        <v>1</v>
      </c>
      <c r="G1255" s="567">
        <v>226</v>
      </c>
      <c r="H1255" s="567">
        <v>2130</v>
      </c>
      <c r="O1255"/>
    </row>
    <row r="1256" spans="1:15" x14ac:dyDescent="0.2">
      <c r="A1256" s="567">
        <v>3175</v>
      </c>
      <c r="B1256" s="568" t="s">
        <v>3033</v>
      </c>
      <c r="C1256" s="568" t="s">
        <v>3032</v>
      </c>
      <c r="D1256" s="567">
        <v>9173</v>
      </c>
      <c r="E1256" s="567">
        <v>44</v>
      </c>
      <c r="F1256" s="567">
        <v>11</v>
      </c>
      <c r="G1256" s="567">
        <v>437</v>
      </c>
      <c r="H1256" s="567">
        <v>4151</v>
      </c>
      <c r="O1256"/>
    </row>
    <row r="1257" spans="1:15" x14ac:dyDescent="0.2">
      <c r="A1257" s="567">
        <v>3174</v>
      </c>
      <c r="B1257" s="568" t="s">
        <v>3033</v>
      </c>
      <c r="C1257" s="568" t="s">
        <v>358</v>
      </c>
      <c r="D1257" s="567">
        <v>9172</v>
      </c>
      <c r="E1257" s="567">
        <v>44</v>
      </c>
      <c r="F1257" s="567">
        <v>11</v>
      </c>
      <c r="G1257" s="567">
        <v>437</v>
      </c>
      <c r="H1257" s="567">
        <v>4151</v>
      </c>
      <c r="O1257"/>
    </row>
    <row r="1258" spans="1:15" x14ac:dyDescent="0.2">
      <c r="A1258" s="567">
        <v>3173</v>
      </c>
      <c r="B1258" s="568" t="s">
        <v>3033</v>
      </c>
      <c r="C1258" s="568" t="s">
        <v>2894</v>
      </c>
      <c r="D1258" s="567">
        <v>9171</v>
      </c>
      <c r="E1258" s="567">
        <v>44</v>
      </c>
      <c r="F1258" s="567">
        <v>11</v>
      </c>
      <c r="G1258" s="567">
        <v>437</v>
      </c>
      <c r="H1258" s="567">
        <v>4151</v>
      </c>
      <c r="O1258"/>
    </row>
    <row r="1259" spans="1:15" x14ac:dyDescent="0.2">
      <c r="A1259" s="567">
        <v>3172</v>
      </c>
      <c r="B1259" s="568" t="s">
        <v>3033</v>
      </c>
      <c r="C1259" s="568" t="s">
        <v>3033</v>
      </c>
      <c r="D1259" s="567">
        <v>9170</v>
      </c>
      <c r="E1259" s="567">
        <v>44</v>
      </c>
      <c r="F1259" s="567">
        <v>11</v>
      </c>
      <c r="G1259" s="567">
        <v>437</v>
      </c>
      <c r="H1259" s="567">
        <v>4151</v>
      </c>
      <c r="O1259"/>
    </row>
    <row r="1260" spans="1:15" x14ac:dyDescent="0.2">
      <c r="A1260" s="567">
        <v>1819</v>
      </c>
      <c r="B1260" s="568" t="s">
        <v>590</v>
      </c>
      <c r="C1260" s="568" t="s">
        <v>590</v>
      </c>
      <c r="D1260" s="567">
        <v>5050</v>
      </c>
      <c r="E1260" s="567">
        <v>17</v>
      </c>
      <c r="F1260" s="567">
        <v>3</v>
      </c>
      <c r="G1260" s="567">
        <v>316</v>
      </c>
      <c r="H1260" s="567">
        <v>3110</v>
      </c>
      <c r="O1260"/>
    </row>
    <row r="1261" spans="1:15" x14ac:dyDescent="0.2">
      <c r="A1261" s="567">
        <v>1820</v>
      </c>
      <c r="B1261" s="568" t="s">
        <v>590</v>
      </c>
      <c r="C1261" s="568" t="s">
        <v>1844</v>
      </c>
      <c r="D1261" s="567">
        <v>5051</v>
      </c>
      <c r="E1261" s="567">
        <v>17</v>
      </c>
      <c r="F1261" s="567">
        <v>3</v>
      </c>
      <c r="G1261" s="567">
        <v>316</v>
      </c>
      <c r="H1261" s="567">
        <v>3110</v>
      </c>
      <c r="O1261"/>
    </row>
    <row r="1262" spans="1:15" x14ac:dyDescent="0.2">
      <c r="A1262" s="567">
        <v>1821</v>
      </c>
      <c r="B1262" s="568" t="s">
        <v>590</v>
      </c>
      <c r="C1262" s="568" t="s">
        <v>1845</v>
      </c>
      <c r="D1262" s="567">
        <v>5052</v>
      </c>
      <c r="E1262" s="567">
        <v>17</v>
      </c>
      <c r="F1262" s="567">
        <v>3</v>
      </c>
      <c r="G1262" s="567">
        <v>316</v>
      </c>
      <c r="H1262" s="567">
        <v>3110</v>
      </c>
      <c r="O1262"/>
    </row>
    <row r="1263" spans="1:15" x14ac:dyDescent="0.2">
      <c r="A1263" s="567">
        <v>1822</v>
      </c>
      <c r="B1263" s="568" t="s">
        <v>590</v>
      </c>
      <c r="C1263" s="568" t="s">
        <v>1846</v>
      </c>
      <c r="D1263" s="567">
        <v>5053</v>
      </c>
      <c r="E1263" s="567">
        <v>17</v>
      </c>
      <c r="F1263" s="567">
        <v>3</v>
      </c>
      <c r="G1263" s="567">
        <v>316</v>
      </c>
      <c r="H1263" s="567">
        <v>3110</v>
      </c>
      <c r="O1263"/>
    </row>
    <row r="1264" spans="1:15" x14ac:dyDescent="0.2">
      <c r="A1264" s="567">
        <v>1823</v>
      </c>
      <c r="B1264" s="568" t="s">
        <v>590</v>
      </c>
      <c r="C1264" s="568" t="s">
        <v>1847</v>
      </c>
      <c r="D1264" s="567">
        <v>5054</v>
      </c>
      <c r="E1264" s="567">
        <v>17</v>
      </c>
      <c r="F1264" s="567">
        <v>3</v>
      </c>
      <c r="G1264" s="567">
        <v>316</v>
      </c>
      <c r="H1264" s="567">
        <v>3110</v>
      </c>
      <c r="O1264"/>
    </row>
    <row r="1265" spans="1:15" x14ac:dyDescent="0.2">
      <c r="A1265" s="567">
        <v>996</v>
      </c>
      <c r="B1265" s="568" t="s">
        <v>484</v>
      </c>
      <c r="C1265" s="568" t="s">
        <v>484</v>
      </c>
      <c r="D1265" s="567">
        <v>2585</v>
      </c>
      <c r="E1265" s="567">
        <v>20</v>
      </c>
      <c r="F1265" s="567">
        <v>13</v>
      </c>
      <c r="G1265" s="567">
        <v>135</v>
      </c>
      <c r="H1265" s="567">
        <v>1140</v>
      </c>
      <c r="O1265"/>
    </row>
    <row r="1266" spans="1:15" x14ac:dyDescent="0.2">
      <c r="A1266" s="567">
        <v>997</v>
      </c>
      <c r="B1266" s="568" t="s">
        <v>484</v>
      </c>
      <c r="C1266" s="568" t="s">
        <v>485</v>
      </c>
      <c r="D1266" s="567">
        <v>2586</v>
      </c>
      <c r="E1266" s="567">
        <v>20</v>
      </c>
      <c r="F1266" s="567">
        <v>13</v>
      </c>
      <c r="G1266" s="567">
        <v>135</v>
      </c>
      <c r="H1266" s="567">
        <v>1140</v>
      </c>
      <c r="O1266"/>
    </row>
    <row r="1267" spans="1:15" x14ac:dyDescent="0.2">
      <c r="A1267" s="567">
        <v>998</v>
      </c>
      <c r="B1267" s="568" t="s">
        <v>484</v>
      </c>
      <c r="C1267" s="568" t="s">
        <v>486</v>
      </c>
      <c r="D1267" s="567">
        <v>2587</v>
      </c>
      <c r="E1267" s="567">
        <v>20</v>
      </c>
      <c r="F1267" s="567">
        <v>13</v>
      </c>
      <c r="G1267" s="567">
        <v>135</v>
      </c>
      <c r="H1267" s="567">
        <v>1140</v>
      </c>
      <c r="O1267"/>
    </row>
    <row r="1268" spans="1:15" x14ac:dyDescent="0.2">
      <c r="A1268" s="567">
        <v>999</v>
      </c>
      <c r="B1268" s="568" t="s">
        <v>484</v>
      </c>
      <c r="C1268" s="568" t="s">
        <v>430</v>
      </c>
      <c r="D1268" s="567">
        <v>2588</v>
      </c>
      <c r="E1268" s="567">
        <v>20</v>
      </c>
      <c r="F1268" s="567">
        <v>13</v>
      </c>
      <c r="G1268" s="567">
        <v>135</v>
      </c>
      <c r="H1268" s="567">
        <v>1140</v>
      </c>
      <c r="O1268"/>
    </row>
    <row r="1269" spans="1:15" x14ac:dyDescent="0.2">
      <c r="A1269" s="567">
        <v>3220</v>
      </c>
      <c r="B1269" s="568" t="s">
        <v>3061</v>
      </c>
      <c r="C1269" s="568" t="s">
        <v>3060</v>
      </c>
      <c r="D1269" s="567">
        <v>9260</v>
      </c>
      <c r="E1269" s="567">
        <v>124</v>
      </c>
      <c r="F1269" s="567">
        <v>11</v>
      </c>
      <c r="G1269" s="567">
        <v>437</v>
      </c>
      <c r="H1269" s="567">
        <v>4151</v>
      </c>
      <c r="O1269"/>
    </row>
    <row r="1270" spans="1:15" x14ac:dyDescent="0.2">
      <c r="A1270" s="567">
        <v>3221</v>
      </c>
      <c r="B1270" s="568" t="s">
        <v>3061</v>
      </c>
      <c r="C1270" s="568" t="s">
        <v>3062</v>
      </c>
      <c r="D1270" s="567">
        <v>9261</v>
      </c>
      <c r="E1270" s="567">
        <v>124</v>
      </c>
      <c r="F1270" s="567">
        <v>11</v>
      </c>
      <c r="G1270" s="567">
        <v>437</v>
      </c>
      <c r="H1270" s="567">
        <v>4151</v>
      </c>
      <c r="O1270"/>
    </row>
    <row r="1271" spans="1:15" x14ac:dyDescent="0.2">
      <c r="A1271" s="567">
        <v>3222</v>
      </c>
      <c r="B1271" s="568" t="s">
        <v>3061</v>
      </c>
      <c r="C1271" s="568" t="s">
        <v>924</v>
      </c>
      <c r="D1271" s="567">
        <v>9262</v>
      </c>
      <c r="E1271" s="567">
        <v>124</v>
      </c>
      <c r="F1271" s="567">
        <v>11</v>
      </c>
      <c r="G1271" s="567">
        <v>437</v>
      </c>
      <c r="H1271" s="567">
        <v>4151</v>
      </c>
      <c r="O1271"/>
    </row>
    <row r="1272" spans="1:15" x14ac:dyDescent="0.2">
      <c r="A1272" s="567">
        <v>1005</v>
      </c>
      <c r="B1272" s="568" t="s">
        <v>492</v>
      </c>
      <c r="C1272" s="568" t="s">
        <v>492</v>
      </c>
      <c r="D1272" s="567">
        <v>2605</v>
      </c>
      <c r="E1272" s="567">
        <v>21</v>
      </c>
      <c r="F1272" s="567">
        <v>13</v>
      </c>
      <c r="G1272" s="567">
        <v>135</v>
      </c>
      <c r="H1272" s="567">
        <v>1140</v>
      </c>
      <c r="O1272"/>
    </row>
    <row r="1273" spans="1:15" x14ac:dyDescent="0.2">
      <c r="A1273" s="567">
        <v>2867</v>
      </c>
      <c r="B1273" s="568" t="s">
        <v>3230</v>
      </c>
      <c r="C1273" s="568" t="s">
        <v>3229</v>
      </c>
      <c r="D1273" s="567">
        <v>8270</v>
      </c>
      <c r="E1273" s="567">
        <v>139</v>
      </c>
      <c r="F1273" s="567">
        <v>14</v>
      </c>
      <c r="G1273" s="567">
        <v>425</v>
      </c>
      <c r="H1273" s="567">
        <v>4170</v>
      </c>
      <c r="O1273"/>
    </row>
    <row r="1274" spans="1:15" x14ac:dyDescent="0.2">
      <c r="A1274" s="567">
        <v>2868</v>
      </c>
      <c r="B1274" s="568" t="s">
        <v>3230</v>
      </c>
      <c r="C1274" s="568" t="s">
        <v>493</v>
      </c>
      <c r="D1274" s="567">
        <v>8271</v>
      </c>
      <c r="E1274" s="567">
        <v>139</v>
      </c>
      <c r="F1274" s="567">
        <v>14</v>
      </c>
      <c r="G1274" s="567">
        <v>425</v>
      </c>
      <c r="H1274" s="567">
        <v>4170</v>
      </c>
      <c r="O1274"/>
    </row>
    <row r="1275" spans="1:15" x14ac:dyDescent="0.2">
      <c r="A1275" s="567">
        <v>722</v>
      </c>
      <c r="B1275" s="568" t="s">
        <v>673</v>
      </c>
      <c r="C1275" s="568" t="s">
        <v>672</v>
      </c>
      <c r="D1275" s="567">
        <v>1644</v>
      </c>
      <c r="E1275" s="567">
        <v>21</v>
      </c>
      <c r="F1275" s="567">
        <v>2</v>
      </c>
      <c r="G1275" s="567">
        <v>115</v>
      </c>
      <c r="H1275" s="567">
        <v>1161</v>
      </c>
      <c r="O1275"/>
    </row>
    <row r="1276" spans="1:15" x14ac:dyDescent="0.2">
      <c r="A1276" s="567">
        <v>720</v>
      </c>
      <c r="B1276" s="568" t="s">
        <v>673</v>
      </c>
      <c r="C1276" s="568" t="s">
        <v>676</v>
      </c>
      <c r="D1276" s="567">
        <v>1642</v>
      </c>
      <c r="E1276" s="567">
        <v>21</v>
      </c>
      <c r="F1276" s="567">
        <v>2</v>
      </c>
      <c r="G1276" s="567">
        <v>115</v>
      </c>
      <c r="H1276" s="567">
        <v>1161</v>
      </c>
      <c r="O1276"/>
    </row>
    <row r="1277" spans="1:15" x14ac:dyDescent="0.2">
      <c r="A1277" s="567">
        <v>724</v>
      </c>
      <c r="B1277" s="568" t="s">
        <v>673</v>
      </c>
      <c r="C1277" s="568" t="s">
        <v>685</v>
      </c>
      <c r="D1277" s="567">
        <v>1646</v>
      </c>
      <c r="E1277" s="567">
        <v>21</v>
      </c>
      <c r="F1277" s="567">
        <v>2</v>
      </c>
      <c r="G1277" s="567">
        <v>115</v>
      </c>
      <c r="H1277" s="567">
        <v>1161</v>
      </c>
      <c r="O1277"/>
    </row>
    <row r="1278" spans="1:15" x14ac:dyDescent="0.2">
      <c r="A1278" s="567">
        <v>723</v>
      </c>
      <c r="B1278" s="568" t="s">
        <v>673</v>
      </c>
      <c r="C1278" s="568" t="s">
        <v>686</v>
      </c>
      <c r="D1278" s="567">
        <v>1645</v>
      </c>
      <c r="E1278" s="567">
        <v>21</v>
      </c>
      <c r="F1278" s="567">
        <v>2</v>
      </c>
      <c r="G1278" s="567">
        <v>115</v>
      </c>
      <c r="H1278" s="567">
        <v>1161</v>
      </c>
      <c r="O1278"/>
    </row>
    <row r="1279" spans="1:15" x14ac:dyDescent="0.2">
      <c r="A1279" s="567">
        <v>721</v>
      </c>
      <c r="B1279" s="568" t="s">
        <v>673</v>
      </c>
      <c r="C1279" s="568" t="s">
        <v>687</v>
      </c>
      <c r="D1279" s="567">
        <v>1643</v>
      </c>
      <c r="E1279" s="567">
        <v>21</v>
      </c>
      <c r="F1279" s="567">
        <v>2</v>
      </c>
      <c r="G1279" s="567">
        <v>115</v>
      </c>
      <c r="H1279" s="567">
        <v>1161</v>
      </c>
      <c r="O1279"/>
    </row>
    <row r="1280" spans="1:15" x14ac:dyDescent="0.2">
      <c r="A1280" s="567">
        <v>719</v>
      </c>
      <c r="B1280" s="568" t="s">
        <v>673</v>
      </c>
      <c r="C1280" s="568" t="s">
        <v>688</v>
      </c>
      <c r="D1280" s="567">
        <v>1641</v>
      </c>
      <c r="E1280" s="567">
        <v>21</v>
      </c>
      <c r="F1280" s="567">
        <v>2</v>
      </c>
      <c r="G1280" s="567">
        <v>115</v>
      </c>
      <c r="H1280" s="567">
        <v>1161</v>
      </c>
      <c r="O1280"/>
    </row>
    <row r="1281" spans="1:15" x14ac:dyDescent="0.2">
      <c r="A1281" s="567">
        <v>718</v>
      </c>
      <c r="B1281" s="568" t="s">
        <v>673</v>
      </c>
      <c r="C1281" s="568" t="s">
        <v>673</v>
      </c>
      <c r="D1281" s="567">
        <v>1640</v>
      </c>
      <c r="E1281" s="567">
        <v>21</v>
      </c>
      <c r="F1281" s="567">
        <v>2</v>
      </c>
      <c r="G1281" s="567">
        <v>115</v>
      </c>
      <c r="H1281" s="567">
        <v>1161</v>
      </c>
      <c r="O1281"/>
    </row>
    <row r="1282" spans="1:15" x14ac:dyDescent="0.2">
      <c r="A1282" s="567">
        <v>2445</v>
      </c>
      <c r="B1282" s="568" t="s">
        <v>2520</v>
      </c>
      <c r="C1282" s="568" t="s">
        <v>2519</v>
      </c>
      <c r="D1282" s="567">
        <v>7004</v>
      </c>
      <c r="E1282" s="567">
        <v>49</v>
      </c>
      <c r="F1282" s="567">
        <v>7</v>
      </c>
      <c r="G1282" s="567">
        <v>337</v>
      </c>
      <c r="H1282" s="567">
        <v>3180</v>
      </c>
      <c r="O1282"/>
    </row>
    <row r="1283" spans="1:15" x14ac:dyDescent="0.2">
      <c r="A1283" s="567">
        <v>2441</v>
      </c>
      <c r="B1283" s="568" t="s">
        <v>2520</v>
      </c>
      <c r="C1283" s="568" t="s">
        <v>2520</v>
      </c>
      <c r="D1283" s="567">
        <v>7000</v>
      </c>
      <c r="E1283" s="567">
        <v>49</v>
      </c>
      <c r="F1283" s="567">
        <v>7</v>
      </c>
      <c r="G1283" s="567">
        <v>337</v>
      </c>
      <c r="H1283" s="567">
        <v>3180</v>
      </c>
      <c r="O1283"/>
    </row>
    <row r="1284" spans="1:15" x14ac:dyDescent="0.2">
      <c r="A1284" s="567">
        <v>2442</v>
      </c>
      <c r="B1284" s="568" t="s">
        <v>2520</v>
      </c>
      <c r="C1284" s="568" t="s">
        <v>2524</v>
      </c>
      <c r="D1284" s="567">
        <v>7001</v>
      </c>
      <c r="E1284" s="567">
        <v>49</v>
      </c>
      <c r="F1284" s="567">
        <v>7</v>
      </c>
      <c r="G1284" s="567">
        <v>337</v>
      </c>
      <c r="H1284" s="567">
        <v>3180</v>
      </c>
      <c r="O1284"/>
    </row>
    <row r="1285" spans="1:15" x14ac:dyDescent="0.2">
      <c r="A1285" s="567">
        <v>2444</v>
      </c>
      <c r="B1285" s="568" t="s">
        <v>2520</v>
      </c>
      <c r="C1285" s="568" t="s">
        <v>1000</v>
      </c>
      <c r="D1285" s="567">
        <v>7003</v>
      </c>
      <c r="E1285" s="567">
        <v>49</v>
      </c>
      <c r="F1285" s="567">
        <v>7</v>
      </c>
      <c r="G1285" s="567">
        <v>337</v>
      </c>
      <c r="H1285" s="567">
        <v>3180</v>
      </c>
      <c r="O1285"/>
    </row>
    <row r="1286" spans="1:15" x14ac:dyDescent="0.2">
      <c r="A1286" s="567">
        <v>2446</v>
      </c>
      <c r="B1286" s="568" t="s">
        <v>2520</v>
      </c>
      <c r="C1286" s="568" t="s">
        <v>2527</v>
      </c>
      <c r="D1286" s="567">
        <v>7005</v>
      </c>
      <c r="E1286" s="567">
        <v>49</v>
      </c>
      <c r="F1286" s="567">
        <v>7</v>
      </c>
      <c r="G1286" s="567">
        <v>337</v>
      </c>
      <c r="H1286" s="567">
        <v>3180</v>
      </c>
      <c r="O1286"/>
    </row>
    <row r="1287" spans="1:15" x14ac:dyDescent="0.2">
      <c r="A1287" s="567">
        <v>2447</v>
      </c>
      <c r="B1287" s="568" t="s">
        <v>2520</v>
      </c>
      <c r="C1287" s="568" t="s">
        <v>2528</v>
      </c>
      <c r="D1287" s="567">
        <v>7006</v>
      </c>
      <c r="E1287" s="567">
        <v>49</v>
      </c>
      <c r="F1287" s="567">
        <v>7</v>
      </c>
      <c r="G1287" s="567">
        <v>337</v>
      </c>
      <c r="H1287" s="567">
        <v>3180</v>
      </c>
      <c r="O1287"/>
    </row>
    <row r="1288" spans="1:15" x14ac:dyDescent="0.2">
      <c r="A1288" s="567">
        <v>2443</v>
      </c>
      <c r="B1288" s="568" t="s">
        <v>2520</v>
      </c>
      <c r="C1288" s="568" t="s">
        <v>2532</v>
      </c>
      <c r="D1288" s="567">
        <v>7002</v>
      </c>
      <c r="E1288" s="567">
        <v>49</v>
      </c>
      <c r="F1288" s="567">
        <v>7</v>
      </c>
      <c r="G1288" s="567">
        <v>337</v>
      </c>
      <c r="H1288" s="567">
        <v>3180</v>
      </c>
      <c r="O1288"/>
    </row>
    <row r="1289" spans="1:15" x14ac:dyDescent="0.2">
      <c r="A1289" s="567">
        <v>487</v>
      </c>
      <c r="B1289" s="568" t="s">
        <v>783</v>
      </c>
      <c r="C1289" s="568" t="s">
        <v>783</v>
      </c>
      <c r="D1289" s="567">
        <v>955</v>
      </c>
      <c r="E1289" s="567">
        <v>28</v>
      </c>
      <c r="F1289" s="567">
        <v>1</v>
      </c>
      <c r="G1289" s="567">
        <v>118</v>
      </c>
      <c r="H1289" s="567">
        <v>1170</v>
      </c>
      <c r="O1289"/>
    </row>
    <row r="1290" spans="1:15" x14ac:dyDescent="0.2">
      <c r="A1290" s="567">
        <v>3106</v>
      </c>
      <c r="B1290" s="568" t="s">
        <v>1557</v>
      </c>
      <c r="C1290" s="568" t="s">
        <v>3099</v>
      </c>
      <c r="D1290" s="567">
        <v>8991</v>
      </c>
      <c r="E1290" s="567">
        <v>47</v>
      </c>
      <c r="F1290" s="567">
        <v>14</v>
      </c>
      <c r="G1290" s="567">
        <v>437</v>
      </c>
      <c r="H1290" s="567">
        <v>4151</v>
      </c>
      <c r="O1290"/>
    </row>
    <row r="1291" spans="1:15" x14ac:dyDescent="0.2">
      <c r="A1291" s="567">
        <v>3105</v>
      </c>
      <c r="B1291" s="568" t="s">
        <v>1557</v>
      </c>
      <c r="C1291" s="568" t="s">
        <v>1557</v>
      </c>
      <c r="D1291" s="567">
        <v>8990</v>
      </c>
      <c r="E1291" s="567">
        <v>47</v>
      </c>
      <c r="F1291" s="567">
        <v>14</v>
      </c>
      <c r="G1291" s="567">
        <v>437</v>
      </c>
      <c r="H1291" s="567">
        <v>4151</v>
      </c>
      <c r="O1291"/>
    </row>
    <row r="1292" spans="1:15" x14ac:dyDescent="0.2">
      <c r="A1292" s="567">
        <v>956</v>
      </c>
      <c r="B1292" s="568" t="s">
        <v>115</v>
      </c>
      <c r="C1292" s="568" t="s">
        <v>115</v>
      </c>
      <c r="D1292" s="567">
        <v>2480</v>
      </c>
      <c r="E1292" s="567">
        <v>28</v>
      </c>
      <c r="F1292" s="567">
        <v>18</v>
      </c>
      <c r="G1292" s="567">
        <v>136</v>
      </c>
      <c r="H1292" s="567">
        <v>1101</v>
      </c>
      <c r="O1292"/>
    </row>
    <row r="1293" spans="1:15" x14ac:dyDescent="0.2">
      <c r="A1293" s="567">
        <v>957</v>
      </c>
      <c r="B1293" s="568" t="s">
        <v>115</v>
      </c>
      <c r="C1293" s="568" t="s">
        <v>116</v>
      </c>
      <c r="D1293" s="567">
        <v>2481</v>
      </c>
      <c r="E1293" s="567">
        <v>28</v>
      </c>
      <c r="F1293" s="567">
        <v>18</v>
      </c>
      <c r="G1293" s="567">
        <v>136</v>
      </c>
      <c r="H1293" s="567">
        <v>1101</v>
      </c>
      <c r="O1293"/>
    </row>
    <row r="1294" spans="1:15" x14ac:dyDescent="0.2">
      <c r="A1294" s="567">
        <v>953</v>
      </c>
      <c r="B1294" s="568" t="s">
        <v>111</v>
      </c>
      <c r="C1294" s="568" t="s">
        <v>111</v>
      </c>
      <c r="D1294" s="567">
        <v>2465</v>
      </c>
      <c r="E1294" s="567">
        <v>29</v>
      </c>
      <c r="F1294" s="567">
        <v>18</v>
      </c>
      <c r="G1294" s="567">
        <v>136</v>
      </c>
      <c r="H1294" s="567">
        <v>1101</v>
      </c>
      <c r="O1294"/>
    </row>
    <row r="1295" spans="1:15" x14ac:dyDescent="0.2">
      <c r="A1295" s="567">
        <v>1899</v>
      </c>
      <c r="B1295" s="568" t="s">
        <v>1952</v>
      </c>
      <c r="C1295" s="568" t="s">
        <v>1952</v>
      </c>
      <c r="D1295" s="567">
        <v>5335</v>
      </c>
      <c r="E1295" s="567">
        <v>51</v>
      </c>
      <c r="F1295" s="567">
        <v>5</v>
      </c>
      <c r="G1295" s="567">
        <v>315</v>
      </c>
      <c r="H1295" s="567">
        <v>3120</v>
      </c>
      <c r="O1295"/>
    </row>
    <row r="1296" spans="1:15" x14ac:dyDescent="0.2">
      <c r="A1296" s="567">
        <v>715</v>
      </c>
      <c r="B1296" s="568" t="s">
        <v>698</v>
      </c>
      <c r="C1296" s="568" t="s">
        <v>698</v>
      </c>
      <c r="D1296" s="567">
        <v>1620</v>
      </c>
      <c r="E1296" s="567">
        <v>22</v>
      </c>
      <c r="F1296" s="567">
        <v>2</v>
      </c>
      <c r="G1296" s="567">
        <v>115</v>
      </c>
      <c r="H1296" s="567">
        <v>1161</v>
      </c>
      <c r="O1296"/>
    </row>
    <row r="1297" spans="1:15" x14ac:dyDescent="0.2">
      <c r="A1297" s="567">
        <v>2280</v>
      </c>
      <c r="B1297" s="568" t="s">
        <v>2335</v>
      </c>
      <c r="C1297" s="568" t="s">
        <v>2334</v>
      </c>
      <c r="D1297" s="567">
        <v>6581</v>
      </c>
      <c r="E1297" s="567">
        <v>35</v>
      </c>
      <c r="F1297" s="567">
        <v>4</v>
      </c>
      <c r="G1297" s="567">
        <v>335</v>
      </c>
      <c r="H1297" s="567">
        <v>3151</v>
      </c>
      <c r="O1297"/>
    </row>
    <row r="1298" spans="1:15" x14ac:dyDescent="0.2">
      <c r="A1298" s="567">
        <v>2281</v>
      </c>
      <c r="B1298" s="568" t="s">
        <v>2335</v>
      </c>
      <c r="C1298" s="568" t="s">
        <v>2336</v>
      </c>
      <c r="D1298" s="567">
        <v>6582</v>
      </c>
      <c r="E1298" s="567">
        <v>35</v>
      </c>
      <c r="F1298" s="567">
        <v>4</v>
      </c>
      <c r="G1298" s="567">
        <v>335</v>
      </c>
      <c r="H1298" s="567">
        <v>3151</v>
      </c>
      <c r="O1298"/>
    </row>
    <row r="1299" spans="1:15" x14ac:dyDescent="0.2">
      <c r="A1299" s="567">
        <v>2282</v>
      </c>
      <c r="B1299" s="568" t="s">
        <v>2335</v>
      </c>
      <c r="C1299" s="568" t="s">
        <v>2337</v>
      </c>
      <c r="D1299" s="567">
        <v>6583</v>
      </c>
      <c r="E1299" s="567">
        <v>35</v>
      </c>
      <c r="F1299" s="567">
        <v>4</v>
      </c>
      <c r="G1299" s="567">
        <v>335</v>
      </c>
      <c r="H1299" s="567">
        <v>3151</v>
      </c>
      <c r="O1299"/>
    </row>
    <row r="1300" spans="1:15" x14ac:dyDescent="0.2">
      <c r="A1300" s="567">
        <v>2283</v>
      </c>
      <c r="B1300" s="568" t="s">
        <v>2335</v>
      </c>
      <c r="C1300" s="568" t="s">
        <v>2338</v>
      </c>
      <c r="D1300" s="567">
        <v>6584</v>
      </c>
      <c r="E1300" s="567">
        <v>35</v>
      </c>
      <c r="F1300" s="567">
        <v>4</v>
      </c>
      <c r="G1300" s="567">
        <v>335</v>
      </c>
      <c r="H1300" s="567">
        <v>3151</v>
      </c>
      <c r="O1300"/>
    </row>
    <row r="1301" spans="1:15" x14ac:dyDescent="0.2">
      <c r="A1301" s="567">
        <v>2279</v>
      </c>
      <c r="B1301" s="568" t="s">
        <v>2335</v>
      </c>
      <c r="C1301" s="568" t="s">
        <v>2335</v>
      </c>
      <c r="D1301" s="567">
        <v>6580</v>
      </c>
      <c r="E1301" s="567">
        <v>35</v>
      </c>
      <c r="F1301" s="567">
        <v>4</v>
      </c>
      <c r="G1301" s="567">
        <v>335</v>
      </c>
      <c r="H1301" s="567">
        <v>3151</v>
      </c>
      <c r="O1301"/>
    </row>
    <row r="1302" spans="1:15" x14ac:dyDescent="0.2">
      <c r="A1302" s="567">
        <v>1943</v>
      </c>
      <c r="B1302" s="568" t="s">
        <v>1908</v>
      </c>
      <c r="C1302" s="568" t="s">
        <v>1908</v>
      </c>
      <c r="D1302" s="567">
        <v>5490</v>
      </c>
      <c r="E1302" s="567">
        <v>52</v>
      </c>
      <c r="F1302" s="567">
        <v>6</v>
      </c>
      <c r="G1302" s="567">
        <v>315</v>
      </c>
      <c r="H1302" s="567">
        <v>3120</v>
      </c>
      <c r="O1302"/>
    </row>
    <row r="1303" spans="1:15" x14ac:dyDescent="0.2">
      <c r="A1303" s="567">
        <v>2626</v>
      </c>
      <c r="B1303" s="568" t="s">
        <v>3001</v>
      </c>
      <c r="C1303" s="568" t="s">
        <v>3001</v>
      </c>
      <c r="D1303" s="567">
        <v>7530</v>
      </c>
      <c r="E1303" s="567">
        <v>18</v>
      </c>
      <c r="F1303" s="567">
        <v>17</v>
      </c>
      <c r="G1303" s="567">
        <v>416</v>
      </c>
      <c r="H1303" s="567">
        <v>4140</v>
      </c>
      <c r="O1303"/>
    </row>
    <row r="1304" spans="1:15" x14ac:dyDescent="0.2">
      <c r="A1304" s="567">
        <v>1140</v>
      </c>
      <c r="B1304" s="568" t="s">
        <v>1372</v>
      </c>
      <c r="C1304" s="568" t="s">
        <v>1371</v>
      </c>
      <c r="D1304" s="567">
        <v>2961</v>
      </c>
      <c r="E1304" s="567">
        <v>107</v>
      </c>
      <c r="F1304" s="567">
        <v>1</v>
      </c>
      <c r="G1304" s="567">
        <v>226</v>
      </c>
      <c r="H1304" s="567">
        <v>2130</v>
      </c>
      <c r="O1304"/>
    </row>
    <row r="1305" spans="1:15" x14ac:dyDescent="0.2">
      <c r="A1305" s="567">
        <v>1139</v>
      </c>
      <c r="B1305" s="568" t="s">
        <v>1372</v>
      </c>
      <c r="C1305" s="568" t="s">
        <v>1373</v>
      </c>
      <c r="D1305" s="567">
        <v>2960</v>
      </c>
      <c r="E1305" s="567">
        <v>107</v>
      </c>
      <c r="F1305" s="567">
        <v>1</v>
      </c>
      <c r="G1305" s="567">
        <v>226</v>
      </c>
      <c r="H1305" s="567">
        <v>2130</v>
      </c>
      <c r="O1305"/>
    </row>
    <row r="1306" spans="1:15" x14ac:dyDescent="0.2">
      <c r="A1306" s="567">
        <v>741</v>
      </c>
      <c r="B1306" s="568" t="s">
        <v>757</v>
      </c>
      <c r="C1306" s="568" t="s">
        <v>757</v>
      </c>
      <c r="D1306" s="567">
        <v>1725</v>
      </c>
      <c r="E1306" s="567">
        <v>27</v>
      </c>
      <c r="F1306" s="567">
        <v>2</v>
      </c>
      <c r="G1306" s="567">
        <v>116</v>
      </c>
      <c r="H1306" s="567">
        <v>1180</v>
      </c>
      <c r="O1306"/>
    </row>
    <row r="1307" spans="1:15" x14ac:dyDescent="0.2">
      <c r="A1307" s="567">
        <v>3065</v>
      </c>
      <c r="B1307" s="568" t="s">
        <v>757</v>
      </c>
      <c r="C1307" s="568" t="s">
        <v>2778</v>
      </c>
      <c r="D1307" s="567">
        <v>8841</v>
      </c>
      <c r="E1307" s="567">
        <v>58</v>
      </c>
      <c r="F1307" s="567">
        <v>11</v>
      </c>
      <c r="G1307" s="567">
        <v>426</v>
      </c>
      <c r="H1307" s="567">
        <v>4110</v>
      </c>
      <c r="O1307"/>
    </row>
    <row r="1308" spans="1:15" x14ac:dyDescent="0.2">
      <c r="A1308" s="567">
        <v>3064</v>
      </c>
      <c r="B1308" s="568" t="s">
        <v>757</v>
      </c>
      <c r="C1308" s="568" t="s">
        <v>757</v>
      </c>
      <c r="D1308" s="567">
        <v>8840</v>
      </c>
      <c r="E1308" s="567">
        <v>58</v>
      </c>
      <c r="F1308" s="567">
        <v>11</v>
      </c>
      <c r="G1308" s="567">
        <v>426</v>
      </c>
      <c r="H1308" s="567">
        <v>4110</v>
      </c>
      <c r="O1308"/>
    </row>
    <row r="1309" spans="1:15" x14ac:dyDescent="0.2">
      <c r="A1309" s="567">
        <v>3066</v>
      </c>
      <c r="B1309" s="568" t="s">
        <v>757</v>
      </c>
      <c r="C1309" s="568" t="s">
        <v>2779</v>
      </c>
      <c r="D1309" s="567">
        <v>8842</v>
      </c>
      <c r="E1309" s="567">
        <v>58</v>
      </c>
      <c r="F1309" s="567">
        <v>11</v>
      </c>
      <c r="G1309" s="567">
        <v>426</v>
      </c>
      <c r="H1309" s="567">
        <v>4110</v>
      </c>
      <c r="O1309"/>
    </row>
    <row r="1310" spans="1:15" x14ac:dyDescent="0.2">
      <c r="A1310" s="567">
        <v>2375</v>
      </c>
      <c r="B1310" s="568" t="s">
        <v>2588</v>
      </c>
      <c r="C1310" s="568" t="s">
        <v>2588</v>
      </c>
      <c r="D1310" s="567">
        <v>6840</v>
      </c>
      <c r="E1310" s="567">
        <v>51</v>
      </c>
      <c r="F1310" s="567">
        <v>7</v>
      </c>
      <c r="G1310" s="567">
        <v>337</v>
      </c>
      <c r="H1310" s="567">
        <v>3180</v>
      </c>
      <c r="O1310"/>
    </row>
    <row r="1311" spans="1:15" x14ac:dyDescent="0.2">
      <c r="A1311" s="567">
        <v>2376</v>
      </c>
      <c r="B1311" s="568" t="s">
        <v>2588</v>
      </c>
      <c r="C1311" s="568" t="s">
        <v>2590</v>
      </c>
      <c r="D1311" s="567">
        <v>6841</v>
      </c>
      <c r="E1311" s="567">
        <v>51</v>
      </c>
      <c r="F1311" s="567">
        <v>7</v>
      </c>
      <c r="G1311" s="567">
        <v>337</v>
      </c>
      <c r="H1311" s="567">
        <v>3180</v>
      </c>
      <c r="O1311"/>
    </row>
    <row r="1312" spans="1:15" x14ac:dyDescent="0.2">
      <c r="A1312" s="567">
        <v>2377</v>
      </c>
      <c r="B1312" s="568" t="s">
        <v>2588</v>
      </c>
      <c r="C1312" s="568" t="s">
        <v>2591</v>
      </c>
      <c r="D1312" s="567">
        <v>6842</v>
      </c>
      <c r="E1312" s="567">
        <v>51</v>
      </c>
      <c r="F1312" s="567">
        <v>7</v>
      </c>
      <c r="G1312" s="567">
        <v>337</v>
      </c>
      <c r="H1312" s="567">
        <v>3180</v>
      </c>
      <c r="O1312"/>
    </row>
    <row r="1313" spans="1:15" x14ac:dyDescent="0.2">
      <c r="A1313" s="567">
        <v>1206</v>
      </c>
      <c r="B1313" s="568" t="s">
        <v>1453</v>
      </c>
      <c r="C1313" s="568" t="s">
        <v>1453</v>
      </c>
      <c r="D1313" s="567">
        <v>3220</v>
      </c>
      <c r="E1313" s="567">
        <v>32</v>
      </c>
      <c r="F1313" s="567">
        <v>3</v>
      </c>
      <c r="G1313" s="567">
        <v>226</v>
      </c>
      <c r="H1313" s="567">
        <v>2130</v>
      </c>
      <c r="O1313"/>
    </row>
    <row r="1314" spans="1:15" x14ac:dyDescent="0.2">
      <c r="A1314" s="567">
        <v>1504</v>
      </c>
      <c r="B1314" s="568" t="s">
        <v>1644</v>
      </c>
      <c r="C1314" s="568" t="s">
        <v>181</v>
      </c>
      <c r="D1314" s="567">
        <v>4125</v>
      </c>
      <c r="E1314" s="567">
        <v>35</v>
      </c>
      <c r="F1314" s="567">
        <v>7</v>
      </c>
      <c r="G1314" s="567">
        <v>235</v>
      </c>
      <c r="H1314" s="567">
        <v>2160</v>
      </c>
      <c r="O1314"/>
    </row>
    <row r="1315" spans="1:15" x14ac:dyDescent="0.2">
      <c r="A1315" s="567">
        <v>1804</v>
      </c>
      <c r="B1315" s="568" t="s">
        <v>2161</v>
      </c>
      <c r="C1315" s="568" t="s">
        <v>2161</v>
      </c>
      <c r="D1315" s="567">
        <v>4970</v>
      </c>
      <c r="E1315" s="567">
        <v>46</v>
      </c>
      <c r="F1315" s="567">
        <v>5</v>
      </c>
      <c r="G1315" s="567">
        <v>317</v>
      </c>
      <c r="H1315" s="567">
        <v>3140</v>
      </c>
      <c r="O1315"/>
    </row>
    <row r="1316" spans="1:15" x14ac:dyDescent="0.2">
      <c r="A1316" s="567">
        <v>1737</v>
      </c>
      <c r="B1316" s="568" t="s">
        <v>2126</v>
      </c>
      <c r="C1316" s="568" t="s">
        <v>2125</v>
      </c>
      <c r="D1316" s="567">
        <v>4750</v>
      </c>
      <c r="E1316" s="567">
        <v>47</v>
      </c>
      <c r="F1316" s="567">
        <v>3</v>
      </c>
      <c r="G1316" s="567">
        <v>317</v>
      </c>
      <c r="H1316" s="567">
        <v>3140</v>
      </c>
      <c r="O1316"/>
    </row>
    <row r="1317" spans="1:15" x14ac:dyDescent="0.2">
      <c r="A1317" s="567">
        <v>1738</v>
      </c>
      <c r="B1317" s="568" t="s">
        <v>2126</v>
      </c>
      <c r="C1317" s="568" t="s">
        <v>2139</v>
      </c>
      <c r="D1317" s="567">
        <v>4751</v>
      </c>
      <c r="E1317" s="567">
        <v>47</v>
      </c>
      <c r="F1317" s="567">
        <v>3</v>
      </c>
      <c r="G1317" s="567">
        <v>317</v>
      </c>
      <c r="H1317" s="567">
        <v>3140</v>
      </c>
      <c r="O1317"/>
    </row>
    <row r="1318" spans="1:15" x14ac:dyDescent="0.2">
      <c r="A1318" s="567">
        <v>1739</v>
      </c>
      <c r="B1318" s="568" t="s">
        <v>2126</v>
      </c>
      <c r="C1318" s="568" t="s">
        <v>2140</v>
      </c>
      <c r="D1318" s="567">
        <v>4752</v>
      </c>
      <c r="E1318" s="567">
        <v>47</v>
      </c>
      <c r="F1318" s="567">
        <v>3</v>
      </c>
      <c r="G1318" s="567">
        <v>317</v>
      </c>
      <c r="H1318" s="567">
        <v>3140</v>
      </c>
      <c r="O1318"/>
    </row>
    <row r="1319" spans="1:15" x14ac:dyDescent="0.2">
      <c r="A1319" s="567">
        <v>2241</v>
      </c>
      <c r="B1319" s="568" t="s">
        <v>2288</v>
      </c>
      <c r="C1319" s="568" t="s">
        <v>2287</v>
      </c>
      <c r="D1319" s="567">
        <v>6482</v>
      </c>
      <c r="E1319" s="567">
        <v>96</v>
      </c>
      <c r="F1319" s="567">
        <v>11</v>
      </c>
      <c r="G1319" s="567">
        <v>335</v>
      </c>
      <c r="H1319" s="567">
        <v>3151</v>
      </c>
      <c r="O1319"/>
    </row>
    <row r="1320" spans="1:15" x14ac:dyDescent="0.2">
      <c r="A1320" s="567">
        <v>2240</v>
      </c>
      <c r="B1320" s="568" t="s">
        <v>2288</v>
      </c>
      <c r="C1320" s="568" t="s">
        <v>2298</v>
      </c>
      <c r="D1320" s="567">
        <v>6481</v>
      </c>
      <c r="E1320" s="567">
        <v>96</v>
      </c>
      <c r="F1320" s="567">
        <v>11</v>
      </c>
      <c r="G1320" s="567">
        <v>335</v>
      </c>
      <c r="H1320" s="567">
        <v>3151</v>
      </c>
      <c r="O1320"/>
    </row>
    <row r="1321" spans="1:15" x14ac:dyDescent="0.2">
      <c r="A1321" s="567">
        <v>2242</v>
      </c>
      <c r="B1321" s="568" t="s">
        <v>2288</v>
      </c>
      <c r="C1321" s="568" t="s">
        <v>2301</v>
      </c>
      <c r="D1321" s="567">
        <v>6483</v>
      </c>
      <c r="E1321" s="567">
        <v>96</v>
      </c>
      <c r="F1321" s="567">
        <v>11</v>
      </c>
      <c r="G1321" s="567">
        <v>335</v>
      </c>
      <c r="H1321" s="567">
        <v>3151</v>
      </c>
      <c r="O1321"/>
    </row>
    <row r="1322" spans="1:15" x14ac:dyDescent="0.2">
      <c r="A1322" s="567">
        <v>2243</v>
      </c>
      <c r="B1322" s="568" t="s">
        <v>2288</v>
      </c>
      <c r="C1322" s="568" t="s">
        <v>2302</v>
      </c>
      <c r="D1322" s="567">
        <v>6484</v>
      </c>
      <c r="E1322" s="567">
        <v>96</v>
      </c>
      <c r="F1322" s="567">
        <v>11</v>
      </c>
      <c r="G1322" s="567">
        <v>335</v>
      </c>
      <c r="H1322" s="567">
        <v>3151</v>
      </c>
      <c r="O1322"/>
    </row>
    <row r="1323" spans="1:15" x14ac:dyDescent="0.2">
      <c r="A1323" s="567">
        <v>2239</v>
      </c>
      <c r="B1323" s="568" t="s">
        <v>2288</v>
      </c>
      <c r="C1323" s="568" t="s">
        <v>2311</v>
      </c>
      <c r="D1323" s="567">
        <v>6480</v>
      </c>
      <c r="E1323" s="567">
        <v>96</v>
      </c>
      <c r="F1323" s="567">
        <v>11</v>
      </c>
      <c r="G1323" s="567">
        <v>335</v>
      </c>
      <c r="H1323" s="567">
        <v>3151</v>
      </c>
      <c r="O1323"/>
    </row>
    <row r="1324" spans="1:15" x14ac:dyDescent="0.2">
      <c r="A1324" s="567">
        <v>873</v>
      </c>
      <c r="B1324" s="568" t="s">
        <v>70</v>
      </c>
      <c r="C1324" s="568" t="s">
        <v>70</v>
      </c>
      <c r="D1324" s="567">
        <v>2215</v>
      </c>
      <c r="E1324" s="567">
        <v>31</v>
      </c>
      <c r="F1324" s="567">
        <v>14</v>
      </c>
      <c r="G1324" s="567">
        <v>117</v>
      </c>
      <c r="H1324" s="567">
        <v>1130</v>
      </c>
      <c r="O1324"/>
    </row>
    <row r="1325" spans="1:15" x14ac:dyDescent="0.2">
      <c r="A1325" s="567">
        <v>2705</v>
      </c>
      <c r="B1325" s="568" t="s">
        <v>766</v>
      </c>
      <c r="C1325" s="568" t="s">
        <v>2939</v>
      </c>
      <c r="D1325" s="567">
        <v>7790</v>
      </c>
      <c r="E1325" s="567">
        <v>90</v>
      </c>
      <c r="F1325" s="567">
        <v>14</v>
      </c>
      <c r="G1325" s="567">
        <v>415</v>
      </c>
      <c r="H1325" s="567">
        <v>4131</v>
      </c>
      <c r="O1325"/>
    </row>
    <row r="1326" spans="1:15" x14ac:dyDescent="0.2">
      <c r="A1326" s="567">
        <v>2706</v>
      </c>
      <c r="B1326" s="568" t="s">
        <v>766</v>
      </c>
      <c r="C1326" s="568" t="s">
        <v>502</v>
      </c>
      <c r="D1326" s="567">
        <v>7791</v>
      </c>
      <c r="E1326" s="567">
        <v>90</v>
      </c>
      <c r="F1326" s="567">
        <v>14</v>
      </c>
      <c r="G1326" s="567">
        <v>415</v>
      </c>
      <c r="H1326" s="567">
        <v>4131</v>
      </c>
      <c r="O1326"/>
    </row>
    <row r="1327" spans="1:15" x14ac:dyDescent="0.2">
      <c r="A1327" s="567">
        <v>2707</v>
      </c>
      <c r="B1327" s="568" t="s">
        <v>766</v>
      </c>
      <c r="C1327" s="568" t="s">
        <v>2940</v>
      </c>
      <c r="D1327" s="567">
        <v>7792</v>
      </c>
      <c r="E1327" s="567">
        <v>90</v>
      </c>
      <c r="F1327" s="567">
        <v>14</v>
      </c>
      <c r="G1327" s="567">
        <v>415</v>
      </c>
      <c r="H1327" s="567">
        <v>4131</v>
      </c>
      <c r="O1327"/>
    </row>
    <row r="1328" spans="1:15" x14ac:dyDescent="0.2">
      <c r="A1328" s="567">
        <v>2708</v>
      </c>
      <c r="B1328" s="568" t="s">
        <v>766</v>
      </c>
      <c r="C1328" s="568" t="s">
        <v>369</v>
      </c>
      <c r="D1328" s="567">
        <v>7793</v>
      </c>
      <c r="E1328" s="567">
        <v>90</v>
      </c>
      <c r="F1328" s="567">
        <v>14</v>
      </c>
      <c r="G1328" s="567">
        <v>415</v>
      </c>
      <c r="H1328" s="567">
        <v>4131</v>
      </c>
      <c r="O1328"/>
    </row>
    <row r="1329" spans="1:15" x14ac:dyDescent="0.2">
      <c r="A1329" s="567">
        <v>2709</v>
      </c>
      <c r="B1329" s="568" t="s">
        <v>766</v>
      </c>
      <c r="C1329" s="568" t="s">
        <v>2941</v>
      </c>
      <c r="D1329" s="567">
        <v>7794</v>
      </c>
      <c r="E1329" s="567">
        <v>90</v>
      </c>
      <c r="F1329" s="567">
        <v>14</v>
      </c>
      <c r="G1329" s="567">
        <v>415</v>
      </c>
      <c r="H1329" s="567">
        <v>4131</v>
      </c>
      <c r="O1329"/>
    </row>
    <row r="1330" spans="1:15" x14ac:dyDescent="0.2">
      <c r="A1330" s="567">
        <v>3166</v>
      </c>
      <c r="B1330" s="568" t="s">
        <v>2470</v>
      </c>
      <c r="C1330" s="568" t="s">
        <v>2041</v>
      </c>
      <c r="D1330" s="567">
        <v>9152</v>
      </c>
      <c r="E1330" s="567">
        <v>53</v>
      </c>
      <c r="F1330" s="567">
        <v>11</v>
      </c>
      <c r="G1330" s="567">
        <v>437</v>
      </c>
      <c r="H1330" s="567">
        <v>4151</v>
      </c>
      <c r="O1330"/>
    </row>
    <row r="1331" spans="1:15" x14ac:dyDescent="0.2">
      <c r="A1331" s="567">
        <v>3171</v>
      </c>
      <c r="B1331" s="568" t="s">
        <v>2470</v>
      </c>
      <c r="C1331" s="568" t="s">
        <v>3034</v>
      </c>
      <c r="D1331" s="567">
        <v>9157</v>
      </c>
      <c r="E1331" s="567">
        <v>53</v>
      </c>
      <c r="F1331" s="567">
        <v>11</v>
      </c>
      <c r="G1331" s="567">
        <v>437</v>
      </c>
      <c r="H1331" s="567">
        <v>4151</v>
      </c>
      <c r="O1331"/>
    </row>
    <row r="1332" spans="1:15" x14ac:dyDescent="0.2">
      <c r="A1332" s="567">
        <v>3170</v>
      </c>
      <c r="B1332" s="568" t="s">
        <v>2470</v>
      </c>
      <c r="C1332" s="568" t="s">
        <v>3035</v>
      </c>
      <c r="D1332" s="567">
        <v>9156</v>
      </c>
      <c r="E1332" s="567">
        <v>53</v>
      </c>
      <c r="F1332" s="567">
        <v>11</v>
      </c>
      <c r="G1332" s="567">
        <v>437</v>
      </c>
      <c r="H1332" s="567">
        <v>4151</v>
      </c>
      <c r="O1332"/>
    </row>
    <row r="1333" spans="1:15" x14ac:dyDescent="0.2">
      <c r="A1333" s="567">
        <v>3169</v>
      </c>
      <c r="B1333" s="568" t="s">
        <v>2470</v>
      </c>
      <c r="C1333" s="568" t="s">
        <v>3036</v>
      </c>
      <c r="D1333" s="567">
        <v>9155</v>
      </c>
      <c r="E1333" s="567">
        <v>53</v>
      </c>
      <c r="F1333" s="567">
        <v>11</v>
      </c>
      <c r="G1333" s="567">
        <v>437</v>
      </c>
      <c r="H1333" s="567">
        <v>4151</v>
      </c>
      <c r="O1333"/>
    </row>
    <row r="1334" spans="1:15" x14ac:dyDescent="0.2">
      <c r="A1334" s="567">
        <v>3167</v>
      </c>
      <c r="B1334" s="568" t="s">
        <v>2470</v>
      </c>
      <c r="C1334" s="568" t="s">
        <v>3038</v>
      </c>
      <c r="D1334" s="567">
        <v>9153</v>
      </c>
      <c r="E1334" s="567">
        <v>53</v>
      </c>
      <c r="F1334" s="567">
        <v>11</v>
      </c>
      <c r="G1334" s="567">
        <v>437</v>
      </c>
      <c r="H1334" s="567">
        <v>4151</v>
      </c>
      <c r="O1334"/>
    </row>
    <row r="1335" spans="1:15" x14ac:dyDescent="0.2">
      <c r="A1335" s="567">
        <v>3165</v>
      </c>
      <c r="B1335" s="568" t="s">
        <v>2470</v>
      </c>
      <c r="C1335" s="568" t="s">
        <v>3039</v>
      </c>
      <c r="D1335" s="567">
        <v>9151</v>
      </c>
      <c r="E1335" s="567">
        <v>53</v>
      </c>
      <c r="F1335" s="567">
        <v>11</v>
      </c>
      <c r="G1335" s="567">
        <v>437</v>
      </c>
      <c r="H1335" s="567">
        <v>4151</v>
      </c>
      <c r="O1335"/>
    </row>
    <row r="1336" spans="1:15" x14ac:dyDescent="0.2">
      <c r="A1336" s="567">
        <v>3164</v>
      </c>
      <c r="B1336" s="568" t="s">
        <v>2470</v>
      </c>
      <c r="C1336" s="568" t="s">
        <v>2470</v>
      </c>
      <c r="D1336" s="567">
        <v>9150</v>
      </c>
      <c r="E1336" s="567">
        <v>53</v>
      </c>
      <c r="F1336" s="567">
        <v>11</v>
      </c>
      <c r="G1336" s="567">
        <v>437</v>
      </c>
      <c r="H1336" s="567">
        <v>4151</v>
      </c>
      <c r="O1336"/>
    </row>
    <row r="1337" spans="1:15" x14ac:dyDescent="0.2">
      <c r="A1337" s="567">
        <v>3168</v>
      </c>
      <c r="B1337" s="568" t="s">
        <v>2470</v>
      </c>
      <c r="C1337" s="568" t="s">
        <v>3045</v>
      </c>
      <c r="D1337" s="567">
        <v>9154</v>
      </c>
      <c r="E1337" s="567">
        <v>53</v>
      </c>
      <c r="F1337" s="567">
        <v>11</v>
      </c>
      <c r="G1337" s="567">
        <v>437</v>
      </c>
      <c r="H1337" s="567">
        <v>4151</v>
      </c>
      <c r="O1337"/>
    </row>
    <row r="1338" spans="1:15" x14ac:dyDescent="0.2">
      <c r="A1338" s="567">
        <v>2425</v>
      </c>
      <c r="B1338" s="568" t="s">
        <v>2471</v>
      </c>
      <c r="C1338" s="568" t="s">
        <v>2470</v>
      </c>
      <c r="D1338" s="567">
        <v>6970</v>
      </c>
      <c r="E1338" s="567">
        <v>53</v>
      </c>
      <c r="F1338" s="567">
        <v>3</v>
      </c>
      <c r="G1338" s="567">
        <v>337</v>
      </c>
      <c r="H1338" s="567">
        <v>3180</v>
      </c>
      <c r="O1338"/>
    </row>
    <row r="1339" spans="1:15" x14ac:dyDescent="0.2">
      <c r="A1339" s="567">
        <v>2426</v>
      </c>
      <c r="B1339" s="568" t="s">
        <v>2471</v>
      </c>
      <c r="C1339" s="568" t="s">
        <v>2472</v>
      </c>
      <c r="D1339" s="567">
        <v>6971</v>
      </c>
      <c r="E1339" s="567">
        <v>53</v>
      </c>
      <c r="F1339" s="567">
        <v>3</v>
      </c>
      <c r="G1339" s="567">
        <v>337</v>
      </c>
      <c r="H1339" s="567">
        <v>3180</v>
      </c>
      <c r="O1339"/>
    </row>
    <row r="1340" spans="1:15" x14ac:dyDescent="0.2">
      <c r="A1340" s="567">
        <v>2427</v>
      </c>
      <c r="B1340" s="568" t="s">
        <v>2471</v>
      </c>
      <c r="C1340" s="568" t="s">
        <v>2473</v>
      </c>
      <c r="D1340" s="567">
        <v>6972</v>
      </c>
      <c r="E1340" s="567">
        <v>53</v>
      </c>
      <c r="F1340" s="567">
        <v>3</v>
      </c>
      <c r="G1340" s="567">
        <v>337</v>
      </c>
      <c r="H1340" s="567">
        <v>3180</v>
      </c>
      <c r="O1340"/>
    </row>
    <row r="1341" spans="1:15" x14ac:dyDescent="0.2">
      <c r="A1341" s="567">
        <v>2428</v>
      </c>
      <c r="B1341" s="568" t="s">
        <v>2471</v>
      </c>
      <c r="C1341" s="568" t="s">
        <v>187</v>
      </c>
      <c r="D1341" s="567">
        <v>6973</v>
      </c>
      <c r="E1341" s="567">
        <v>53</v>
      </c>
      <c r="F1341" s="567">
        <v>3</v>
      </c>
      <c r="G1341" s="567">
        <v>337</v>
      </c>
      <c r="H1341" s="567">
        <v>3180</v>
      </c>
      <c r="O1341"/>
    </row>
    <row r="1342" spans="1:15" x14ac:dyDescent="0.2">
      <c r="A1342" s="567">
        <v>713</v>
      </c>
      <c r="B1342" s="568" t="s">
        <v>696</v>
      </c>
      <c r="C1342" s="568" t="s">
        <v>696</v>
      </c>
      <c r="D1342" s="567">
        <v>1610</v>
      </c>
      <c r="E1342" s="567">
        <v>24</v>
      </c>
      <c r="F1342" s="567">
        <v>2</v>
      </c>
      <c r="G1342" s="567">
        <v>115</v>
      </c>
      <c r="H1342" s="567">
        <v>1161</v>
      </c>
      <c r="O1342"/>
    </row>
    <row r="1343" spans="1:15" x14ac:dyDescent="0.2">
      <c r="A1343" s="567">
        <v>2841</v>
      </c>
      <c r="B1343" s="568" t="s">
        <v>3255</v>
      </c>
      <c r="C1343" s="568" t="s">
        <v>3255</v>
      </c>
      <c r="D1343" s="567">
        <v>8170</v>
      </c>
      <c r="E1343" s="567">
        <v>62</v>
      </c>
      <c r="F1343" s="567">
        <v>13</v>
      </c>
      <c r="G1343" s="567">
        <v>425</v>
      </c>
      <c r="H1343" s="567">
        <v>4170</v>
      </c>
      <c r="O1343"/>
    </row>
    <row r="1344" spans="1:15" x14ac:dyDescent="0.2">
      <c r="A1344" s="567">
        <v>770</v>
      </c>
      <c r="B1344" s="568" t="s">
        <v>825</v>
      </c>
      <c r="C1344" s="568" t="s">
        <v>825</v>
      </c>
      <c r="D1344" s="567">
        <v>1830</v>
      </c>
      <c r="E1344" s="567">
        <v>29</v>
      </c>
      <c r="F1344" s="567">
        <v>18</v>
      </c>
      <c r="G1344" s="567">
        <v>116</v>
      </c>
      <c r="H1344" s="567">
        <v>1180</v>
      </c>
      <c r="O1344"/>
    </row>
    <row r="1345" spans="1:15" x14ac:dyDescent="0.2">
      <c r="A1345" s="567">
        <v>1019</v>
      </c>
      <c r="B1345" s="568" t="s">
        <v>1532</v>
      </c>
      <c r="C1345" s="568" t="s">
        <v>47</v>
      </c>
      <c r="D1345" s="567">
        <v>2656</v>
      </c>
      <c r="E1345" s="567">
        <v>39</v>
      </c>
      <c r="F1345" s="567">
        <v>21</v>
      </c>
      <c r="G1345" s="567">
        <v>225</v>
      </c>
      <c r="H1345" s="567">
        <v>2140</v>
      </c>
      <c r="O1345"/>
    </row>
    <row r="1346" spans="1:15" x14ac:dyDescent="0.2">
      <c r="A1346" s="567">
        <v>1018</v>
      </c>
      <c r="B1346" s="568" t="s">
        <v>1532</v>
      </c>
      <c r="C1346" s="568" t="s">
        <v>1532</v>
      </c>
      <c r="D1346" s="567">
        <v>2655</v>
      </c>
      <c r="E1346" s="567">
        <v>39</v>
      </c>
      <c r="F1346" s="567">
        <v>21</v>
      </c>
      <c r="G1346" s="567">
        <v>225</v>
      </c>
      <c r="H1346" s="567">
        <v>2140</v>
      </c>
      <c r="O1346"/>
    </row>
    <row r="1347" spans="1:15" x14ac:dyDescent="0.2">
      <c r="A1347" s="567">
        <v>1632</v>
      </c>
      <c r="B1347" s="568" t="s">
        <v>1170</v>
      </c>
      <c r="C1347" s="568" t="s">
        <v>1169</v>
      </c>
      <c r="D1347" s="567">
        <v>4481</v>
      </c>
      <c r="E1347" s="567">
        <v>40</v>
      </c>
      <c r="F1347" s="567">
        <v>17</v>
      </c>
      <c r="G1347" s="567">
        <v>237</v>
      </c>
      <c r="H1347" s="567">
        <v>2110</v>
      </c>
      <c r="O1347"/>
    </row>
    <row r="1348" spans="1:15" x14ac:dyDescent="0.2">
      <c r="A1348" s="567">
        <v>1633</v>
      </c>
      <c r="B1348" s="568" t="s">
        <v>1170</v>
      </c>
      <c r="C1348" s="568" t="s">
        <v>1171</v>
      </c>
      <c r="D1348" s="567">
        <v>4482</v>
      </c>
      <c r="E1348" s="567">
        <v>40</v>
      </c>
      <c r="F1348" s="567">
        <v>17</v>
      </c>
      <c r="G1348" s="567">
        <v>237</v>
      </c>
      <c r="H1348" s="567">
        <v>2110</v>
      </c>
      <c r="O1348"/>
    </row>
    <row r="1349" spans="1:15" x14ac:dyDescent="0.2">
      <c r="A1349" s="567">
        <v>1635</v>
      </c>
      <c r="B1349" s="568" t="s">
        <v>1170</v>
      </c>
      <c r="C1349" s="568" t="s">
        <v>1172</v>
      </c>
      <c r="D1349" s="567">
        <v>4484</v>
      </c>
      <c r="E1349" s="567">
        <v>40</v>
      </c>
      <c r="F1349" s="567">
        <v>17</v>
      </c>
      <c r="G1349" s="567">
        <v>237</v>
      </c>
      <c r="H1349" s="567">
        <v>2110</v>
      </c>
      <c r="O1349"/>
    </row>
    <row r="1350" spans="1:15" x14ac:dyDescent="0.2">
      <c r="A1350" s="567">
        <v>1637</v>
      </c>
      <c r="B1350" s="568" t="s">
        <v>1170</v>
      </c>
      <c r="C1350" s="568" t="s">
        <v>1173</v>
      </c>
      <c r="D1350" s="567">
        <v>4486</v>
      </c>
      <c r="E1350" s="567">
        <v>40</v>
      </c>
      <c r="F1350" s="567">
        <v>17</v>
      </c>
      <c r="G1350" s="567">
        <v>237</v>
      </c>
      <c r="H1350" s="567">
        <v>2110</v>
      </c>
      <c r="O1350"/>
    </row>
    <row r="1351" spans="1:15" x14ac:dyDescent="0.2">
      <c r="A1351" s="567">
        <v>1639</v>
      </c>
      <c r="B1351" s="568" t="s">
        <v>1170</v>
      </c>
      <c r="C1351" s="568" t="s">
        <v>1174</v>
      </c>
      <c r="D1351" s="567">
        <v>4488</v>
      </c>
      <c r="E1351" s="567">
        <v>40</v>
      </c>
      <c r="F1351" s="567">
        <v>17</v>
      </c>
      <c r="G1351" s="567">
        <v>237</v>
      </c>
      <c r="H1351" s="567">
        <v>2110</v>
      </c>
      <c r="O1351"/>
    </row>
    <row r="1352" spans="1:15" x14ac:dyDescent="0.2">
      <c r="A1352" s="567">
        <v>1631</v>
      </c>
      <c r="B1352" s="568" t="s">
        <v>1170</v>
      </c>
      <c r="C1352" s="568" t="s">
        <v>1175</v>
      </c>
      <c r="D1352" s="567">
        <v>4480</v>
      </c>
      <c r="E1352" s="567">
        <v>40</v>
      </c>
      <c r="F1352" s="567">
        <v>17</v>
      </c>
      <c r="G1352" s="567">
        <v>237</v>
      </c>
      <c r="H1352" s="567">
        <v>2110</v>
      </c>
      <c r="O1352"/>
    </row>
    <row r="1353" spans="1:15" x14ac:dyDescent="0.2">
      <c r="A1353" s="567">
        <v>1638</v>
      </c>
      <c r="B1353" s="568" t="s">
        <v>1170</v>
      </c>
      <c r="C1353" s="568" t="s">
        <v>1176</v>
      </c>
      <c r="D1353" s="567">
        <v>4487</v>
      </c>
      <c r="E1353" s="567">
        <v>40</v>
      </c>
      <c r="F1353" s="567">
        <v>17</v>
      </c>
      <c r="G1353" s="567">
        <v>237</v>
      </c>
      <c r="H1353" s="567">
        <v>2110</v>
      </c>
      <c r="O1353"/>
    </row>
    <row r="1354" spans="1:15" x14ac:dyDescent="0.2">
      <c r="A1354" s="567">
        <v>1630</v>
      </c>
      <c r="B1354" s="568" t="s">
        <v>1170</v>
      </c>
      <c r="C1354" s="568" t="s">
        <v>1177</v>
      </c>
      <c r="D1354" s="567">
        <v>4479</v>
      </c>
      <c r="E1354" s="567">
        <v>40</v>
      </c>
      <c r="F1354" s="567">
        <v>17</v>
      </c>
      <c r="G1354" s="567">
        <v>237</v>
      </c>
      <c r="H1354" s="567">
        <v>2110</v>
      </c>
      <c r="O1354"/>
    </row>
    <row r="1355" spans="1:15" x14ac:dyDescent="0.2">
      <c r="A1355" s="567">
        <v>1629</v>
      </c>
      <c r="B1355" s="568" t="s">
        <v>1170</v>
      </c>
      <c r="C1355" s="568" t="s">
        <v>1178</v>
      </c>
      <c r="D1355" s="567">
        <v>4478</v>
      </c>
      <c r="E1355" s="567">
        <v>40</v>
      </c>
      <c r="F1355" s="567">
        <v>17</v>
      </c>
      <c r="G1355" s="567">
        <v>237</v>
      </c>
      <c r="H1355" s="567">
        <v>2110</v>
      </c>
      <c r="O1355"/>
    </row>
    <row r="1356" spans="1:15" x14ac:dyDescent="0.2">
      <c r="A1356" s="567">
        <v>1628</v>
      </c>
      <c r="B1356" s="568" t="s">
        <v>1170</v>
      </c>
      <c r="C1356" s="568" t="s">
        <v>488</v>
      </c>
      <c r="D1356" s="567">
        <v>4477</v>
      </c>
      <c r="E1356" s="567">
        <v>40</v>
      </c>
      <c r="F1356" s="567">
        <v>17</v>
      </c>
      <c r="G1356" s="567">
        <v>237</v>
      </c>
      <c r="H1356" s="567">
        <v>2110</v>
      </c>
      <c r="O1356"/>
    </row>
    <row r="1357" spans="1:15" x14ac:dyDescent="0.2">
      <c r="A1357" s="567">
        <v>1627</v>
      </c>
      <c r="B1357" s="568" t="s">
        <v>1170</v>
      </c>
      <c r="C1357" s="568" t="s">
        <v>1179</v>
      </c>
      <c r="D1357" s="567">
        <v>4476</v>
      </c>
      <c r="E1357" s="567">
        <v>40</v>
      </c>
      <c r="F1357" s="567">
        <v>17</v>
      </c>
      <c r="G1357" s="567">
        <v>237</v>
      </c>
      <c r="H1357" s="567">
        <v>2110</v>
      </c>
      <c r="O1357"/>
    </row>
    <row r="1358" spans="1:15" x14ac:dyDescent="0.2">
      <c r="A1358" s="567">
        <v>1626</v>
      </c>
      <c r="B1358" s="568" t="s">
        <v>1170</v>
      </c>
      <c r="C1358" s="568" t="s">
        <v>568</v>
      </c>
      <c r="D1358" s="567">
        <v>4475</v>
      </c>
      <c r="E1358" s="567">
        <v>40</v>
      </c>
      <c r="F1358" s="567">
        <v>17</v>
      </c>
      <c r="G1358" s="567">
        <v>237</v>
      </c>
      <c r="H1358" s="567">
        <v>2110</v>
      </c>
      <c r="O1358"/>
    </row>
    <row r="1359" spans="1:15" x14ac:dyDescent="0.2">
      <c r="A1359" s="567">
        <v>1625</v>
      </c>
      <c r="B1359" s="568" t="s">
        <v>1170</v>
      </c>
      <c r="C1359" s="568" t="s">
        <v>1180</v>
      </c>
      <c r="D1359" s="567">
        <v>4474</v>
      </c>
      <c r="E1359" s="567">
        <v>40</v>
      </c>
      <c r="F1359" s="567">
        <v>17</v>
      </c>
      <c r="G1359" s="567">
        <v>237</v>
      </c>
      <c r="H1359" s="567">
        <v>2110</v>
      </c>
      <c r="O1359"/>
    </row>
    <row r="1360" spans="1:15" x14ac:dyDescent="0.2">
      <c r="A1360" s="567">
        <v>1624</v>
      </c>
      <c r="B1360" s="568" t="s">
        <v>1170</v>
      </c>
      <c r="C1360" s="568" t="s">
        <v>1181</v>
      </c>
      <c r="D1360" s="567">
        <v>4473</v>
      </c>
      <c r="E1360" s="567">
        <v>40</v>
      </c>
      <c r="F1360" s="567">
        <v>17</v>
      </c>
      <c r="G1360" s="567">
        <v>237</v>
      </c>
      <c r="H1360" s="567">
        <v>2110</v>
      </c>
      <c r="O1360"/>
    </row>
    <row r="1361" spans="1:15" x14ac:dyDescent="0.2">
      <c r="A1361" s="567">
        <v>1622</v>
      </c>
      <c r="B1361" s="568" t="s">
        <v>1170</v>
      </c>
      <c r="C1361" s="568" t="s">
        <v>1183</v>
      </c>
      <c r="D1361" s="567">
        <v>4471</v>
      </c>
      <c r="E1361" s="567">
        <v>40</v>
      </c>
      <c r="F1361" s="567">
        <v>17</v>
      </c>
      <c r="G1361" s="567">
        <v>237</v>
      </c>
      <c r="H1361" s="567">
        <v>2110</v>
      </c>
      <c r="O1361"/>
    </row>
    <row r="1362" spans="1:15" x14ac:dyDescent="0.2">
      <c r="A1362" s="567">
        <v>1623</v>
      </c>
      <c r="B1362" s="568" t="s">
        <v>1170</v>
      </c>
      <c r="C1362" s="568" t="s">
        <v>1186</v>
      </c>
      <c r="D1362" s="567">
        <v>4472</v>
      </c>
      <c r="E1362" s="567">
        <v>40</v>
      </c>
      <c r="F1362" s="567">
        <v>17</v>
      </c>
      <c r="G1362" s="567">
        <v>237</v>
      </c>
      <c r="H1362" s="567">
        <v>2110</v>
      </c>
      <c r="O1362"/>
    </row>
    <row r="1363" spans="1:15" x14ac:dyDescent="0.2">
      <c r="A1363" s="567">
        <v>1634</v>
      </c>
      <c r="B1363" s="568" t="s">
        <v>1170</v>
      </c>
      <c r="C1363" s="568" t="s">
        <v>1187</v>
      </c>
      <c r="D1363" s="567">
        <v>4483</v>
      </c>
      <c r="E1363" s="567">
        <v>40</v>
      </c>
      <c r="F1363" s="567">
        <v>17</v>
      </c>
      <c r="G1363" s="567">
        <v>237</v>
      </c>
      <c r="H1363" s="567">
        <v>2110</v>
      </c>
      <c r="O1363"/>
    </row>
    <row r="1364" spans="1:15" x14ac:dyDescent="0.2">
      <c r="A1364" s="567">
        <v>1621</v>
      </c>
      <c r="B1364" s="568" t="s">
        <v>1170</v>
      </c>
      <c r="C1364" s="568" t="s">
        <v>1201</v>
      </c>
      <c r="D1364" s="567">
        <v>4470</v>
      </c>
      <c r="E1364" s="567">
        <v>40</v>
      </c>
      <c r="F1364" s="567">
        <v>17</v>
      </c>
      <c r="G1364" s="567">
        <v>237</v>
      </c>
      <c r="H1364" s="567">
        <v>2110</v>
      </c>
      <c r="O1364"/>
    </row>
    <row r="1365" spans="1:15" x14ac:dyDescent="0.2">
      <c r="A1365" s="567">
        <v>1636</v>
      </c>
      <c r="B1365" s="568" t="s">
        <v>1170</v>
      </c>
      <c r="C1365" s="568" t="s">
        <v>1225</v>
      </c>
      <c r="D1365" s="567">
        <v>4485</v>
      </c>
      <c r="E1365" s="567">
        <v>40</v>
      </c>
      <c r="F1365" s="567">
        <v>17</v>
      </c>
      <c r="G1365" s="567">
        <v>237</v>
      </c>
      <c r="H1365" s="567">
        <v>2110</v>
      </c>
      <c r="O1365"/>
    </row>
    <row r="1366" spans="1:15" x14ac:dyDescent="0.2">
      <c r="A1366" s="567">
        <v>1917</v>
      </c>
      <c r="B1366" s="568" t="s">
        <v>1924</v>
      </c>
      <c r="C1366" s="568" t="s">
        <v>1924</v>
      </c>
      <c r="D1366" s="567">
        <v>5415</v>
      </c>
      <c r="E1366" s="567">
        <v>56</v>
      </c>
      <c r="F1366" s="567">
        <v>3</v>
      </c>
      <c r="G1366" s="567">
        <v>315</v>
      </c>
      <c r="H1366" s="567">
        <v>3120</v>
      </c>
      <c r="O1366"/>
    </row>
    <row r="1367" spans="1:15" x14ac:dyDescent="0.2">
      <c r="A1367" s="567">
        <v>3293</v>
      </c>
      <c r="B1367" s="568" t="s">
        <v>2791</v>
      </c>
      <c r="C1367" s="568" t="s">
        <v>2790</v>
      </c>
      <c r="D1367" s="567">
        <v>9600</v>
      </c>
      <c r="E1367" s="567">
        <v>95</v>
      </c>
      <c r="F1367" s="567">
        <v>11</v>
      </c>
      <c r="G1367" s="567">
        <v>436</v>
      </c>
      <c r="H1367" s="567">
        <v>4120</v>
      </c>
      <c r="O1367"/>
    </row>
    <row r="1368" spans="1:15" x14ac:dyDescent="0.2">
      <c r="A1368" s="567">
        <v>3295</v>
      </c>
      <c r="B1368" s="568" t="s">
        <v>2791</v>
      </c>
      <c r="C1368" s="568" t="s">
        <v>2794</v>
      </c>
      <c r="D1368" s="567">
        <v>9602</v>
      </c>
      <c r="E1368" s="567">
        <v>95</v>
      </c>
      <c r="F1368" s="567">
        <v>11</v>
      </c>
      <c r="G1368" s="567">
        <v>436</v>
      </c>
      <c r="H1368" s="567">
        <v>4120</v>
      </c>
      <c r="O1368"/>
    </row>
    <row r="1369" spans="1:15" x14ac:dyDescent="0.2">
      <c r="A1369" s="567">
        <v>3294</v>
      </c>
      <c r="B1369" s="568" t="s">
        <v>2791</v>
      </c>
      <c r="C1369" s="568" t="s">
        <v>1737</v>
      </c>
      <c r="D1369" s="567">
        <v>9601</v>
      </c>
      <c r="E1369" s="567">
        <v>95</v>
      </c>
      <c r="F1369" s="567">
        <v>11</v>
      </c>
      <c r="G1369" s="567">
        <v>436</v>
      </c>
      <c r="H1369" s="567">
        <v>4120</v>
      </c>
      <c r="O1369"/>
    </row>
    <row r="1370" spans="1:15" x14ac:dyDescent="0.2">
      <c r="A1370" s="567">
        <v>3296</v>
      </c>
      <c r="B1370" s="568" t="s">
        <v>2791</v>
      </c>
      <c r="C1370" s="568" t="s">
        <v>2803</v>
      </c>
      <c r="D1370" s="567">
        <v>9603</v>
      </c>
      <c r="E1370" s="567">
        <v>95</v>
      </c>
      <c r="F1370" s="567">
        <v>11</v>
      </c>
      <c r="G1370" s="567">
        <v>436</v>
      </c>
      <c r="H1370" s="567">
        <v>4120</v>
      </c>
      <c r="O1370"/>
    </row>
    <row r="1371" spans="1:15" x14ac:dyDescent="0.2">
      <c r="A1371" s="567">
        <v>1813</v>
      </c>
      <c r="B1371" s="568" t="s">
        <v>1000</v>
      </c>
      <c r="C1371" s="568" t="s">
        <v>1000</v>
      </c>
      <c r="D1371" s="567">
        <v>5010</v>
      </c>
      <c r="E1371" s="567">
        <v>51</v>
      </c>
      <c r="F1371" s="567">
        <v>6</v>
      </c>
      <c r="G1371" s="567">
        <v>317</v>
      </c>
      <c r="H1371" s="567">
        <v>3140</v>
      </c>
      <c r="O1371"/>
    </row>
    <row r="1372" spans="1:15" x14ac:dyDescent="0.2">
      <c r="A1372" s="567">
        <v>1814</v>
      </c>
      <c r="B1372" s="568" t="s">
        <v>1000</v>
      </c>
      <c r="C1372" s="568" t="s">
        <v>2171</v>
      </c>
      <c r="D1372" s="567">
        <v>5011</v>
      </c>
      <c r="E1372" s="567">
        <v>51</v>
      </c>
      <c r="F1372" s="567">
        <v>6</v>
      </c>
      <c r="G1372" s="567">
        <v>317</v>
      </c>
      <c r="H1372" s="567">
        <v>3140</v>
      </c>
      <c r="O1372"/>
    </row>
    <row r="1373" spans="1:15" x14ac:dyDescent="0.2">
      <c r="A1373" s="567">
        <v>1815</v>
      </c>
      <c r="B1373" s="568" t="s">
        <v>1000</v>
      </c>
      <c r="C1373" s="568" t="s">
        <v>2172</v>
      </c>
      <c r="D1373" s="567">
        <v>5012</v>
      </c>
      <c r="E1373" s="567">
        <v>51</v>
      </c>
      <c r="F1373" s="567">
        <v>6</v>
      </c>
      <c r="G1373" s="567">
        <v>317</v>
      </c>
      <c r="H1373" s="567">
        <v>3140</v>
      </c>
      <c r="O1373"/>
    </row>
    <row r="1374" spans="1:15" x14ac:dyDescent="0.2">
      <c r="A1374" s="567">
        <v>3230</v>
      </c>
      <c r="B1374" s="568" t="s">
        <v>2851</v>
      </c>
      <c r="C1374" s="568" t="s">
        <v>2850</v>
      </c>
      <c r="D1374" s="567">
        <v>9311</v>
      </c>
      <c r="E1374" s="567">
        <v>47</v>
      </c>
      <c r="F1374" s="567">
        <v>11</v>
      </c>
      <c r="G1374" s="567">
        <v>436</v>
      </c>
      <c r="H1374" s="567">
        <v>4120</v>
      </c>
      <c r="O1374"/>
    </row>
    <row r="1375" spans="1:15" x14ac:dyDescent="0.2">
      <c r="A1375" s="567">
        <v>3229</v>
      </c>
      <c r="B1375" s="568" t="s">
        <v>2851</v>
      </c>
      <c r="C1375" s="568" t="s">
        <v>2851</v>
      </c>
      <c r="D1375" s="567">
        <v>9310</v>
      </c>
      <c r="E1375" s="567">
        <v>47</v>
      </c>
      <c r="F1375" s="567">
        <v>11</v>
      </c>
      <c r="G1375" s="567">
        <v>436</v>
      </c>
      <c r="H1375" s="567">
        <v>4120</v>
      </c>
      <c r="O1375"/>
    </row>
    <row r="1376" spans="1:15" x14ac:dyDescent="0.2">
      <c r="A1376" s="567">
        <v>1128</v>
      </c>
      <c r="B1376" s="568" t="s">
        <v>1460</v>
      </c>
      <c r="C1376" s="568" t="s">
        <v>1459</v>
      </c>
      <c r="D1376" s="567">
        <v>2916</v>
      </c>
      <c r="E1376" s="567">
        <v>42</v>
      </c>
      <c r="F1376" s="567">
        <v>2</v>
      </c>
      <c r="G1376" s="567">
        <v>225</v>
      </c>
      <c r="H1376" s="567">
        <v>2140</v>
      </c>
      <c r="O1376"/>
    </row>
    <row r="1377" spans="1:15" x14ac:dyDescent="0.2">
      <c r="A1377" s="567">
        <v>1127</v>
      </c>
      <c r="B1377" s="568" t="s">
        <v>1460</v>
      </c>
      <c r="C1377" s="568" t="s">
        <v>1460</v>
      </c>
      <c r="D1377" s="567">
        <v>2915</v>
      </c>
      <c r="E1377" s="567">
        <v>42</v>
      </c>
      <c r="F1377" s="567">
        <v>2</v>
      </c>
      <c r="G1377" s="567">
        <v>225</v>
      </c>
      <c r="H1377" s="567">
        <v>2140</v>
      </c>
      <c r="O1377"/>
    </row>
    <row r="1378" spans="1:15" x14ac:dyDescent="0.2">
      <c r="A1378" s="567">
        <v>2163</v>
      </c>
      <c r="B1378" s="568" t="s">
        <v>1724</v>
      </c>
      <c r="C1378" s="568" t="s">
        <v>1723</v>
      </c>
      <c r="D1378" s="567">
        <v>6185</v>
      </c>
      <c r="E1378" s="567">
        <v>27</v>
      </c>
      <c r="F1378" s="567">
        <v>8</v>
      </c>
      <c r="G1378" s="567">
        <v>326</v>
      </c>
      <c r="H1378" s="567">
        <v>3100</v>
      </c>
      <c r="O1378"/>
    </row>
    <row r="1379" spans="1:15" x14ac:dyDescent="0.2">
      <c r="A1379" s="567">
        <v>2162</v>
      </c>
      <c r="B1379" s="568" t="s">
        <v>1724</v>
      </c>
      <c r="C1379" s="568" t="s">
        <v>1733</v>
      </c>
      <c r="D1379" s="567">
        <v>6184</v>
      </c>
      <c r="E1379" s="567">
        <v>27</v>
      </c>
      <c r="F1379" s="567">
        <v>8</v>
      </c>
      <c r="G1379" s="567">
        <v>326</v>
      </c>
      <c r="H1379" s="567">
        <v>3100</v>
      </c>
      <c r="O1379"/>
    </row>
    <row r="1380" spans="1:15" x14ac:dyDescent="0.2">
      <c r="A1380" s="567">
        <v>2161</v>
      </c>
      <c r="B1380" s="568" t="s">
        <v>1724</v>
      </c>
      <c r="C1380" s="568" t="s">
        <v>430</v>
      </c>
      <c r="D1380" s="567">
        <v>6183</v>
      </c>
      <c r="E1380" s="567">
        <v>27</v>
      </c>
      <c r="F1380" s="567">
        <v>8</v>
      </c>
      <c r="G1380" s="567">
        <v>326</v>
      </c>
      <c r="H1380" s="567">
        <v>3100</v>
      </c>
      <c r="O1380"/>
    </row>
    <row r="1381" spans="1:15" x14ac:dyDescent="0.2">
      <c r="A1381" s="567">
        <v>2158</v>
      </c>
      <c r="B1381" s="568" t="s">
        <v>1724</v>
      </c>
      <c r="C1381" s="568" t="s">
        <v>1724</v>
      </c>
      <c r="D1381" s="567">
        <v>6180</v>
      </c>
      <c r="E1381" s="567">
        <v>27</v>
      </c>
      <c r="F1381" s="567">
        <v>8</v>
      </c>
      <c r="G1381" s="567">
        <v>326</v>
      </c>
      <c r="H1381" s="567">
        <v>3100</v>
      </c>
      <c r="O1381"/>
    </row>
    <row r="1382" spans="1:15" x14ac:dyDescent="0.2">
      <c r="A1382" s="567">
        <v>2160</v>
      </c>
      <c r="B1382" s="568" t="s">
        <v>1724</v>
      </c>
      <c r="C1382" s="568" t="s">
        <v>1782</v>
      </c>
      <c r="D1382" s="567">
        <v>6182</v>
      </c>
      <c r="E1382" s="567">
        <v>27</v>
      </c>
      <c r="F1382" s="567">
        <v>8</v>
      </c>
      <c r="G1382" s="567">
        <v>326</v>
      </c>
      <c r="H1382" s="567">
        <v>3100</v>
      </c>
      <c r="O1382"/>
    </row>
    <row r="1383" spans="1:15" x14ac:dyDescent="0.2">
      <c r="A1383" s="567">
        <v>2159</v>
      </c>
      <c r="B1383" s="568" t="s">
        <v>1724</v>
      </c>
      <c r="C1383" s="568" t="s">
        <v>1789</v>
      </c>
      <c r="D1383" s="567">
        <v>6181</v>
      </c>
      <c r="E1383" s="567">
        <v>27</v>
      </c>
      <c r="F1383" s="567">
        <v>8</v>
      </c>
      <c r="G1383" s="567">
        <v>326</v>
      </c>
      <c r="H1383" s="567">
        <v>3100</v>
      </c>
      <c r="O1383"/>
    </row>
    <row r="1384" spans="1:15" x14ac:dyDescent="0.2">
      <c r="A1384" s="567">
        <v>1374</v>
      </c>
      <c r="B1384" s="568" t="s">
        <v>1110</v>
      </c>
      <c r="C1384" s="568" t="s">
        <v>1110</v>
      </c>
      <c r="D1384" s="567">
        <v>3750</v>
      </c>
      <c r="E1384" s="567">
        <v>22</v>
      </c>
      <c r="F1384" s="567">
        <v>3</v>
      </c>
      <c r="G1384" s="567">
        <v>216</v>
      </c>
      <c r="H1384" s="567">
        <v>2100</v>
      </c>
      <c r="O1384"/>
    </row>
    <row r="1385" spans="1:15" x14ac:dyDescent="0.2">
      <c r="A1385" s="567">
        <v>2662</v>
      </c>
      <c r="B1385" s="568" t="s">
        <v>2908</v>
      </c>
      <c r="C1385" s="568" t="s">
        <v>2908</v>
      </c>
      <c r="D1385" s="567">
        <v>7670</v>
      </c>
      <c r="E1385" s="567">
        <v>39</v>
      </c>
      <c r="F1385" s="567">
        <v>14</v>
      </c>
      <c r="G1385" s="567">
        <v>415</v>
      </c>
      <c r="H1385" s="567">
        <v>4131</v>
      </c>
      <c r="O1385"/>
    </row>
    <row r="1386" spans="1:15" x14ac:dyDescent="0.2">
      <c r="A1386" s="567">
        <v>2931</v>
      </c>
      <c r="B1386" s="568" t="s">
        <v>3192</v>
      </c>
      <c r="C1386" s="568" t="s">
        <v>3192</v>
      </c>
      <c r="D1386" s="567">
        <v>8420</v>
      </c>
      <c r="E1386" s="567">
        <v>64</v>
      </c>
      <c r="F1386" s="567">
        <v>12</v>
      </c>
      <c r="G1386" s="567">
        <v>425</v>
      </c>
      <c r="H1386" s="567">
        <v>4170</v>
      </c>
      <c r="O1386"/>
    </row>
    <row r="1387" spans="1:15" x14ac:dyDescent="0.2">
      <c r="A1387" s="567">
        <v>916</v>
      </c>
      <c r="B1387" s="568" t="s">
        <v>75</v>
      </c>
      <c r="C1387" s="568" t="s">
        <v>75</v>
      </c>
      <c r="D1387" s="567">
        <v>2375</v>
      </c>
      <c r="E1387" s="567">
        <v>33</v>
      </c>
      <c r="F1387" s="567">
        <v>19</v>
      </c>
      <c r="G1387" s="567">
        <v>136</v>
      </c>
      <c r="H1387" s="567">
        <v>1101</v>
      </c>
      <c r="O1387"/>
    </row>
    <row r="1388" spans="1:15" x14ac:dyDescent="0.2">
      <c r="A1388" s="567">
        <v>2370</v>
      </c>
      <c r="B1388" s="568" t="s">
        <v>2142</v>
      </c>
      <c r="C1388" s="568" t="s">
        <v>2142</v>
      </c>
      <c r="D1388" s="567">
        <v>6820</v>
      </c>
      <c r="E1388" s="567">
        <v>59</v>
      </c>
      <c r="F1388" s="567">
        <v>6</v>
      </c>
      <c r="G1388" s="567">
        <v>337</v>
      </c>
      <c r="H1388" s="567">
        <v>3180</v>
      </c>
      <c r="O1388"/>
    </row>
    <row r="1389" spans="1:15" x14ac:dyDescent="0.2">
      <c r="A1389" s="567">
        <v>1353</v>
      </c>
      <c r="B1389" s="568" t="s">
        <v>1129</v>
      </c>
      <c r="C1389" s="568" t="s">
        <v>1129</v>
      </c>
      <c r="D1389" s="567">
        <v>3695</v>
      </c>
      <c r="E1389" s="567">
        <v>23</v>
      </c>
      <c r="F1389" s="567">
        <v>3</v>
      </c>
      <c r="G1389" s="567">
        <v>216</v>
      </c>
      <c r="H1389" s="567">
        <v>2100</v>
      </c>
      <c r="O1389"/>
    </row>
    <row r="1390" spans="1:15" x14ac:dyDescent="0.2">
      <c r="A1390" s="567">
        <v>89</v>
      </c>
      <c r="B1390" s="568" t="s">
        <v>333</v>
      </c>
      <c r="C1390" s="568" t="s">
        <v>333</v>
      </c>
      <c r="D1390" s="567">
        <v>140</v>
      </c>
      <c r="E1390" s="567">
        <v>58</v>
      </c>
      <c r="F1390" s="567">
        <v>21</v>
      </c>
      <c r="G1390" s="567">
        <v>128</v>
      </c>
      <c r="H1390" s="567">
        <v>1121</v>
      </c>
      <c r="O1390"/>
    </row>
    <row r="1391" spans="1:15" x14ac:dyDescent="0.2">
      <c r="A1391" s="567">
        <v>90</v>
      </c>
      <c r="B1391" s="568" t="s">
        <v>333</v>
      </c>
      <c r="C1391" s="568" t="s">
        <v>334</v>
      </c>
      <c r="D1391" s="567">
        <v>141</v>
      </c>
      <c r="E1391" s="567">
        <v>58</v>
      </c>
      <c r="F1391" s="567">
        <v>21</v>
      </c>
      <c r="G1391" s="567">
        <v>128</v>
      </c>
      <c r="H1391" s="567">
        <v>1121</v>
      </c>
      <c r="O1391"/>
    </row>
    <row r="1392" spans="1:15" x14ac:dyDescent="0.2">
      <c r="A1392" s="567">
        <v>91</v>
      </c>
      <c r="B1392" s="568" t="s">
        <v>333</v>
      </c>
      <c r="C1392" s="568" t="s">
        <v>335</v>
      </c>
      <c r="D1392" s="567">
        <v>142</v>
      </c>
      <c r="E1392" s="567">
        <v>58</v>
      </c>
      <c r="F1392" s="567">
        <v>21</v>
      </c>
      <c r="G1392" s="567">
        <v>128</v>
      </c>
      <c r="H1392" s="567">
        <v>1121</v>
      </c>
      <c r="O1392"/>
    </row>
    <row r="1393" spans="1:15" x14ac:dyDescent="0.2">
      <c r="A1393" s="567">
        <v>92</v>
      </c>
      <c r="B1393" s="568" t="s">
        <v>333</v>
      </c>
      <c r="C1393" s="568" t="s">
        <v>336</v>
      </c>
      <c r="D1393" s="567">
        <v>143</v>
      </c>
      <c r="E1393" s="567">
        <v>58</v>
      </c>
      <c r="F1393" s="567">
        <v>21</v>
      </c>
      <c r="G1393" s="567">
        <v>128</v>
      </c>
      <c r="H1393" s="567">
        <v>1121</v>
      </c>
      <c r="O1393"/>
    </row>
    <row r="1394" spans="1:15" x14ac:dyDescent="0.2">
      <c r="A1394" s="567">
        <v>93</v>
      </c>
      <c r="B1394" s="568" t="s">
        <v>333</v>
      </c>
      <c r="C1394" s="568" t="s">
        <v>337</v>
      </c>
      <c r="D1394" s="567">
        <v>144</v>
      </c>
      <c r="E1394" s="567">
        <v>58</v>
      </c>
      <c r="F1394" s="567">
        <v>21</v>
      </c>
      <c r="G1394" s="567">
        <v>128</v>
      </c>
      <c r="H1394" s="567">
        <v>1121</v>
      </c>
      <c r="O1394"/>
    </row>
    <row r="1395" spans="1:15" x14ac:dyDescent="0.2">
      <c r="A1395" s="567">
        <v>915</v>
      </c>
      <c r="B1395" s="568" t="s">
        <v>74</v>
      </c>
      <c r="C1395" s="568" t="s">
        <v>74</v>
      </c>
      <c r="D1395" s="567">
        <v>2370</v>
      </c>
      <c r="E1395" s="567">
        <v>34</v>
      </c>
      <c r="F1395" s="567">
        <v>18</v>
      </c>
      <c r="G1395" s="567">
        <v>136</v>
      </c>
      <c r="H1395" s="567">
        <v>1101</v>
      </c>
      <c r="O1395"/>
    </row>
    <row r="1396" spans="1:15" x14ac:dyDescent="0.2">
      <c r="A1396" s="567">
        <v>1892</v>
      </c>
      <c r="B1396" s="568" t="s">
        <v>1930</v>
      </c>
      <c r="C1396" s="568" t="s">
        <v>1930</v>
      </c>
      <c r="D1396" s="567">
        <v>5310</v>
      </c>
      <c r="E1396" s="567">
        <v>59</v>
      </c>
      <c r="F1396" s="567">
        <v>3</v>
      </c>
      <c r="G1396" s="567">
        <v>315</v>
      </c>
      <c r="H1396" s="567">
        <v>3120</v>
      </c>
      <c r="O1396"/>
    </row>
    <row r="1397" spans="1:15" x14ac:dyDescent="0.2">
      <c r="A1397" s="567">
        <v>1893</v>
      </c>
      <c r="B1397" s="568" t="s">
        <v>1930</v>
      </c>
      <c r="C1397" s="568" t="s">
        <v>1931</v>
      </c>
      <c r="D1397" s="567">
        <v>5311</v>
      </c>
      <c r="E1397" s="567">
        <v>59</v>
      </c>
      <c r="F1397" s="567">
        <v>3</v>
      </c>
      <c r="G1397" s="567">
        <v>315</v>
      </c>
      <c r="H1397" s="567">
        <v>3120</v>
      </c>
      <c r="O1397"/>
    </row>
    <row r="1398" spans="1:15" x14ac:dyDescent="0.2">
      <c r="A1398" s="567">
        <v>2926</v>
      </c>
      <c r="B1398" s="568" t="s">
        <v>3190</v>
      </c>
      <c r="C1398" s="568" t="s">
        <v>3189</v>
      </c>
      <c r="D1398" s="567">
        <v>8405</v>
      </c>
      <c r="E1398" s="567">
        <v>137</v>
      </c>
      <c r="F1398" s="567">
        <v>12</v>
      </c>
      <c r="G1398" s="567">
        <v>425</v>
      </c>
      <c r="H1398" s="567">
        <v>4170</v>
      </c>
      <c r="O1398"/>
    </row>
    <row r="1399" spans="1:15" x14ac:dyDescent="0.2">
      <c r="A1399" s="567">
        <v>2927</v>
      </c>
      <c r="B1399" s="568" t="s">
        <v>3190</v>
      </c>
      <c r="C1399" s="568" t="s">
        <v>3191</v>
      </c>
      <c r="D1399" s="567">
        <v>8406</v>
      </c>
      <c r="E1399" s="567">
        <v>137</v>
      </c>
      <c r="F1399" s="567">
        <v>12</v>
      </c>
      <c r="G1399" s="567">
        <v>425</v>
      </c>
      <c r="H1399" s="567">
        <v>4170</v>
      </c>
      <c r="O1399"/>
    </row>
    <row r="1400" spans="1:15" x14ac:dyDescent="0.2">
      <c r="A1400" s="567">
        <v>2933</v>
      </c>
      <c r="B1400" s="568" t="s">
        <v>3196</v>
      </c>
      <c r="C1400" s="568" t="s">
        <v>3196</v>
      </c>
      <c r="D1400" s="567">
        <v>8430</v>
      </c>
      <c r="E1400" s="567">
        <v>66</v>
      </c>
      <c r="F1400" s="567">
        <v>12</v>
      </c>
      <c r="G1400" s="567">
        <v>425</v>
      </c>
      <c r="H1400" s="567">
        <v>4170</v>
      </c>
      <c r="O1400"/>
    </row>
    <row r="1401" spans="1:15" x14ac:dyDescent="0.2">
      <c r="A1401" s="567">
        <v>2935</v>
      </c>
      <c r="B1401" s="568" t="s">
        <v>3196</v>
      </c>
      <c r="C1401" s="568" t="s">
        <v>454</v>
      </c>
      <c r="D1401" s="567">
        <v>8432</v>
      </c>
      <c r="E1401" s="567">
        <v>66</v>
      </c>
      <c r="F1401" s="567">
        <v>12</v>
      </c>
      <c r="G1401" s="567">
        <v>425</v>
      </c>
      <c r="H1401" s="567">
        <v>4170</v>
      </c>
      <c r="O1401"/>
    </row>
    <row r="1402" spans="1:15" x14ac:dyDescent="0.2">
      <c r="A1402" s="567">
        <v>2934</v>
      </c>
      <c r="B1402" s="568" t="s">
        <v>3196</v>
      </c>
      <c r="C1402" s="568" t="s">
        <v>3285</v>
      </c>
      <c r="D1402" s="567">
        <v>8431</v>
      </c>
      <c r="E1402" s="567">
        <v>66</v>
      </c>
      <c r="F1402" s="567">
        <v>12</v>
      </c>
      <c r="G1402" s="567">
        <v>425</v>
      </c>
      <c r="H1402" s="567">
        <v>4170</v>
      </c>
      <c r="O1402"/>
    </row>
    <row r="1403" spans="1:15" x14ac:dyDescent="0.2">
      <c r="A1403" s="567">
        <v>1422</v>
      </c>
      <c r="B1403" s="568" t="s">
        <v>1130</v>
      </c>
      <c r="C1403" s="568" t="s">
        <v>1627</v>
      </c>
      <c r="D1403" s="567">
        <v>3881</v>
      </c>
      <c r="E1403" s="567">
        <v>28</v>
      </c>
      <c r="F1403" s="567">
        <v>2</v>
      </c>
      <c r="G1403" s="567">
        <v>236</v>
      </c>
      <c r="H1403" s="567">
        <v>2150</v>
      </c>
      <c r="O1403"/>
    </row>
    <row r="1404" spans="1:15" x14ac:dyDescent="0.2">
      <c r="A1404" s="567">
        <v>1421</v>
      </c>
      <c r="B1404" s="568" t="s">
        <v>1130</v>
      </c>
      <c r="C1404" s="568" t="s">
        <v>1130</v>
      </c>
      <c r="D1404" s="567">
        <v>3880</v>
      </c>
      <c r="E1404" s="567">
        <v>28</v>
      </c>
      <c r="F1404" s="567">
        <v>2</v>
      </c>
      <c r="G1404" s="567">
        <v>236</v>
      </c>
      <c r="H1404" s="567">
        <v>2150</v>
      </c>
      <c r="O1404"/>
    </row>
    <row r="1405" spans="1:15" x14ac:dyDescent="0.2">
      <c r="A1405" s="567">
        <v>3223</v>
      </c>
      <c r="B1405" s="568" t="s">
        <v>3063</v>
      </c>
      <c r="C1405" s="568" t="s">
        <v>3063</v>
      </c>
      <c r="D1405" s="567">
        <v>9270</v>
      </c>
      <c r="E1405" s="567">
        <v>56</v>
      </c>
      <c r="F1405" s="567">
        <v>11</v>
      </c>
      <c r="G1405" s="567">
        <v>437</v>
      </c>
      <c r="H1405" s="567">
        <v>4151</v>
      </c>
      <c r="O1405"/>
    </row>
    <row r="1406" spans="1:15" x14ac:dyDescent="0.2">
      <c r="A1406" s="567">
        <v>3224</v>
      </c>
      <c r="B1406" s="568" t="s">
        <v>3063</v>
      </c>
      <c r="C1406" s="568" t="s">
        <v>3064</v>
      </c>
      <c r="D1406" s="567">
        <v>9271</v>
      </c>
      <c r="E1406" s="567">
        <v>56</v>
      </c>
      <c r="F1406" s="567">
        <v>11</v>
      </c>
      <c r="G1406" s="567">
        <v>437</v>
      </c>
      <c r="H1406" s="567">
        <v>4151</v>
      </c>
      <c r="O1406"/>
    </row>
    <row r="1407" spans="1:15" x14ac:dyDescent="0.2">
      <c r="A1407" s="567">
        <v>3225</v>
      </c>
      <c r="B1407" s="568" t="s">
        <v>3063</v>
      </c>
      <c r="C1407" s="568" t="s">
        <v>3065</v>
      </c>
      <c r="D1407" s="567">
        <v>9272</v>
      </c>
      <c r="E1407" s="567">
        <v>56</v>
      </c>
      <c r="F1407" s="567">
        <v>11</v>
      </c>
      <c r="G1407" s="567">
        <v>437</v>
      </c>
      <c r="H1407" s="567">
        <v>4151</v>
      </c>
      <c r="O1407"/>
    </row>
    <row r="1408" spans="1:15" x14ac:dyDescent="0.2">
      <c r="A1408" s="567">
        <v>447</v>
      </c>
      <c r="B1408" s="568" t="s">
        <v>592</v>
      </c>
      <c r="C1408" s="568" t="s">
        <v>591</v>
      </c>
      <c r="D1408" s="567">
        <v>847</v>
      </c>
      <c r="E1408" s="567">
        <v>46</v>
      </c>
      <c r="F1408" s="567">
        <v>1</v>
      </c>
      <c r="G1408" s="567">
        <v>125</v>
      </c>
      <c r="H1408" s="567">
        <v>1150</v>
      </c>
      <c r="O1408"/>
    </row>
    <row r="1409" spans="1:15" x14ac:dyDescent="0.2">
      <c r="A1409" s="567">
        <v>446</v>
      </c>
      <c r="B1409" s="568" t="s">
        <v>592</v>
      </c>
      <c r="C1409" s="568" t="s">
        <v>606</v>
      </c>
      <c r="D1409" s="567">
        <v>846</v>
      </c>
      <c r="E1409" s="567">
        <v>46</v>
      </c>
      <c r="F1409" s="567">
        <v>1</v>
      </c>
      <c r="G1409" s="567">
        <v>125</v>
      </c>
      <c r="H1409" s="567">
        <v>1150</v>
      </c>
      <c r="O1409"/>
    </row>
    <row r="1410" spans="1:15" x14ac:dyDescent="0.2">
      <c r="A1410" s="567">
        <v>445</v>
      </c>
      <c r="B1410" s="568" t="s">
        <v>592</v>
      </c>
      <c r="C1410" s="568" t="s">
        <v>592</v>
      </c>
      <c r="D1410" s="567">
        <v>845</v>
      </c>
      <c r="E1410" s="567">
        <v>46</v>
      </c>
      <c r="F1410" s="567">
        <v>1</v>
      </c>
      <c r="G1410" s="567">
        <v>125</v>
      </c>
      <c r="H1410" s="567">
        <v>1150</v>
      </c>
      <c r="O1410"/>
    </row>
    <row r="1411" spans="1:15" x14ac:dyDescent="0.2">
      <c r="A1411" s="567">
        <v>282</v>
      </c>
      <c r="B1411" s="568" t="s">
        <v>1026</v>
      </c>
      <c r="C1411" s="568" t="s">
        <v>1026</v>
      </c>
      <c r="D1411" s="567">
        <v>465</v>
      </c>
      <c r="E1411" s="567">
        <v>43</v>
      </c>
      <c r="F1411" s="567">
        <v>20</v>
      </c>
      <c r="G1411" s="567">
        <v>127</v>
      </c>
      <c r="H1411" s="567">
        <v>1200</v>
      </c>
      <c r="O1411"/>
    </row>
    <row r="1412" spans="1:15" x14ac:dyDescent="0.2">
      <c r="A1412" s="567">
        <v>283</v>
      </c>
      <c r="B1412" s="568" t="s">
        <v>1026</v>
      </c>
      <c r="C1412" s="568" t="s">
        <v>1027</v>
      </c>
      <c r="D1412" s="567">
        <v>466</v>
      </c>
      <c r="E1412" s="567">
        <v>43</v>
      </c>
      <c r="F1412" s="567">
        <v>20</v>
      </c>
      <c r="G1412" s="567">
        <v>127</v>
      </c>
      <c r="H1412" s="567">
        <v>1200</v>
      </c>
      <c r="O1412"/>
    </row>
    <row r="1413" spans="1:15" x14ac:dyDescent="0.2">
      <c r="A1413" s="567">
        <v>284</v>
      </c>
      <c r="B1413" s="568" t="s">
        <v>1026</v>
      </c>
      <c r="C1413" s="568" t="s">
        <v>1028</v>
      </c>
      <c r="D1413" s="567">
        <v>467</v>
      </c>
      <c r="E1413" s="567">
        <v>43</v>
      </c>
      <c r="F1413" s="567">
        <v>20</v>
      </c>
      <c r="G1413" s="567">
        <v>127</v>
      </c>
      <c r="H1413" s="567">
        <v>1200</v>
      </c>
      <c r="O1413"/>
    </row>
    <row r="1414" spans="1:15" x14ac:dyDescent="0.2">
      <c r="A1414" s="567">
        <v>285</v>
      </c>
      <c r="B1414" s="568" t="s">
        <v>1026</v>
      </c>
      <c r="C1414" s="568" t="s">
        <v>63</v>
      </c>
      <c r="D1414" s="567">
        <v>468</v>
      </c>
      <c r="E1414" s="567">
        <v>43</v>
      </c>
      <c r="F1414" s="567">
        <v>20</v>
      </c>
      <c r="G1414" s="567">
        <v>127</v>
      </c>
      <c r="H1414" s="567">
        <v>1200</v>
      </c>
      <c r="O1414"/>
    </row>
    <row r="1415" spans="1:15" x14ac:dyDescent="0.2">
      <c r="A1415" s="567">
        <v>286</v>
      </c>
      <c r="B1415" s="568" t="s">
        <v>1026</v>
      </c>
      <c r="C1415" s="568" t="s">
        <v>1042</v>
      </c>
      <c r="D1415" s="567">
        <v>469</v>
      </c>
      <c r="E1415" s="567">
        <v>43</v>
      </c>
      <c r="F1415" s="567">
        <v>20</v>
      </c>
      <c r="G1415" s="567">
        <v>127</v>
      </c>
      <c r="H1415" s="567">
        <v>1200</v>
      </c>
      <c r="O1415"/>
    </row>
    <row r="1416" spans="1:15" x14ac:dyDescent="0.2">
      <c r="A1416" s="567">
        <v>1141</v>
      </c>
      <c r="B1416" s="568" t="s">
        <v>1370</v>
      </c>
      <c r="C1416" s="568" t="s">
        <v>1370</v>
      </c>
      <c r="D1416" s="567">
        <v>2970</v>
      </c>
      <c r="E1416" s="567">
        <v>36</v>
      </c>
      <c r="F1416" s="567">
        <v>1</v>
      </c>
      <c r="G1416" s="567">
        <v>226</v>
      </c>
      <c r="H1416" s="567">
        <v>2130</v>
      </c>
      <c r="O1416"/>
    </row>
    <row r="1417" spans="1:15" x14ac:dyDescent="0.2">
      <c r="A1417" s="567">
        <v>2222</v>
      </c>
      <c r="B1417" s="568" t="s">
        <v>2416</v>
      </c>
      <c r="C1417" s="568" t="s">
        <v>347</v>
      </c>
      <c r="D1417" s="567">
        <v>6435</v>
      </c>
      <c r="E1417" s="567">
        <v>25</v>
      </c>
      <c r="F1417" s="567">
        <v>14</v>
      </c>
      <c r="G1417" s="567">
        <v>327</v>
      </c>
      <c r="H1417" s="567">
        <v>3170</v>
      </c>
      <c r="O1417"/>
    </row>
    <row r="1418" spans="1:15" x14ac:dyDescent="0.2">
      <c r="A1418" s="567">
        <v>2220</v>
      </c>
      <c r="B1418" s="568" t="s">
        <v>2416</v>
      </c>
      <c r="C1418" s="568" t="s">
        <v>2422</v>
      </c>
      <c r="D1418" s="567">
        <v>6433</v>
      </c>
      <c r="E1418" s="567">
        <v>25</v>
      </c>
      <c r="F1418" s="567">
        <v>14</v>
      </c>
      <c r="G1418" s="567">
        <v>327</v>
      </c>
      <c r="H1418" s="567">
        <v>3170</v>
      </c>
      <c r="O1418"/>
    </row>
    <row r="1419" spans="1:15" x14ac:dyDescent="0.2">
      <c r="A1419" s="567">
        <v>2218</v>
      </c>
      <c r="B1419" s="568" t="s">
        <v>2416</v>
      </c>
      <c r="C1419" s="568" t="s">
        <v>2426</v>
      </c>
      <c r="D1419" s="567">
        <v>6431</v>
      </c>
      <c r="E1419" s="567">
        <v>25</v>
      </c>
      <c r="F1419" s="567">
        <v>14</v>
      </c>
      <c r="G1419" s="567">
        <v>327</v>
      </c>
      <c r="H1419" s="567">
        <v>3170</v>
      </c>
      <c r="O1419"/>
    </row>
    <row r="1420" spans="1:15" x14ac:dyDescent="0.2">
      <c r="A1420" s="567">
        <v>2217</v>
      </c>
      <c r="B1420" s="568" t="s">
        <v>2416</v>
      </c>
      <c r="C1420" s="568" t="s">
        <v>2416</v>
      </c>
      <c r="D1420" s="567">
        <v>6430</v>
      </c>
      <c r="E1420" s="567">
        <v>25</v>
      </c>
      <c r="F1420" s="567">
        <v>14</v>
      </c>
      <c r="G1420" s="567">
        <v>327</v>
      </c>
      <c r="H1420" s="567">
        <v>3170</v>
      </c>
      <c r="O1420"/>
    </row>
    <row r="1421" spans="1:15" x14ac:dyDescent="0.2">
      <c r="A1421" s="567">
        <v>2221</v>
      </c>
      <c r="B1421" s="568" t="s">
        <v>2416</v>
      </c>
      <c r="C1421" s="568" t="s">
        <v>2429</v>
      </c>
      <c r="D1421" s="567">
        <v>6434</v>
      </c>
      <c r="E1421" s="567">
        <v>25</v>
      </c>
      <c r="F1421" s="567">
        <v>14</v>
      </c>
      <c r="G1421" s="567">
        <v>327</v>
      </c>
      <c r="H1421" s="567">
        <v>3170</v>
      </c>
      <c r="O1421"/>
    </row>
    <row r="1422" spans="1:15" x14ac:dyDescent="0.2">
      <c r="A1422" s="567">
        <v>2219</v>
      </c>
      <c r="B1422" s="568" t="s">
        <v>2416</v>
      </c>
      <c r="C1422" s="568" t="s">
        <v>2439</v>
      </c>
      <c r="D1422" s="567">
        <v>6432</v>
      </c>
      <c r="E1422" s="567">
        <v>25</v>
      </c>
      <c r="F1422" s="567">
        <v>14</v>
      </c>
      <c r="G1422" s="567">
        <v>327</v>
      </c>
      <c r="H1422" s="567">
        <v>3170</v>
      </c>
      <c r="O1422"/>
    </row>
    <row r="1423" spans="1:15" x14ac:dyDescent="0.2">
      <c r="A1423" s="567">
        <v>3371</v>
      </c>
      <c r="B1423" s="568" t="s">
        <v>3148</v>
      </c>
      <c r="C1423" s="568" t="s">
        <v>3147</v>
      </c>
      <c r="D1423" s="567">
        <v>9880</v>
      </c>
      <c r="E1423" s="567">
        <v>24</v>
      </c>
      <c r="F1423" s="567">
        <v>9</v>
      </c>
      <c r="G1423" s="567">
        <v>435</v>
      </c>
      <c r="H1423" s="567">
        <v>4160</v>
      </c>
      <c r="O1423"/>
    </row>
    <row r="1424" spans="1:15" x14ac:dyDescent="0.2">
      <c r="A1424" s="567">
        <v>3372</v>
      </c>
      <c r="B1424" s="568" t="s">
        <v>3148</v>
      </c>
      <c r="C1424" s="568" t="s">
        <v>3149</v>
      </c>
      <c r="D1424" s="567">
        <v>9881</v>
      </c>
      <c r="E1424" s="567">
        <v>24</v>
      </c>
      <c r="F1424" s="567">
        <v>9</v>
      </c>
      <c r="G1424" s="567">
        <v>435</v>
      </c>
      <c r="H1424" s="567">
        <v>4160</v>
      </c>
      <c r="O1424"/>
    </row>
    <row r="1425" spans="1:15" x14ac:dyDescent="0.2">
      <c r="A1425" s="567">
        <v>172</v>
      </c>
      <c r="B1425" s="568" t="s">
        <v>932</v>
      </c>
      <c r="C1425" s="568" t="s">
        <v>931</v>
      </c>
      <c r="D1425" s="567">
        <v>271</v>
      </c>
      <c r="E1425" s="567">
        <v>39</v>
      </c>
      <c r="F1425" s="567">
        <v>20</v>
      </c>
      <c r="G1425" s="567">
        <v>126</v>
      </c>
      <c r="H1425" s="567">
        <v>1190</v>
      </c>
      <c r="O1425"/>
    </row>
    <row r="1426" spans="1:15" x14ac:dyDescent="0.2">
      <c r="A1426" s="567">
        <v>177</v>
      </c>
      <c r="B1426" s="568" t="s">
        <v>932</v>
      </c>
      <c r="C1426" s="568" t="s">
        <v>936</v>
      </c>
      <c r="D1426" s="567">
        <v>276</v>
      </c>
      <c r="E1426" s="567">
        <v>39</v>
      </c>
      <c r="F1426" s="567">
        <v>20</v>
      </c>
      <c r="G1426" s="567">
        <v>126</v>
      </c>
      <c r="H1426" s="567">
        <v>1190</v>
      </c>
      <c r="O1426"/>
    </row>
    <row r="1427" spans="1:15" x14ac:dyDescent="0.2">
      <c r="A1427" s="567">
        <v>176</v>
      </c>
      <c r="B1427" s="568" t="s">
        <v>932</v>
      </c>
      <c r="C1427" s="568" t="s">
        <v>937</v>
      </c>
      <c r="D1427" s="567">
        <v>275</v>
      </c>
      <c r="E1427" s="567">
        <v>39</v>
      </c>
      <c r="F1427" s="567">
        <v>20</v>
      </c>
      <c r="G1427" s="567">
        <v>126</v>
      </c>
      <c r="H1427" s="567">
        <v>1190</v>
      </c>
      <c r="O1427"/>
    </row>
    <row r="1428" spans="1:15" x14ac:dyDescent="0.2">
      <c r="A1428" s="567">
        <v>175</v>
      </c>
      <c r="B1428" s="568" t="s">
        <v>932</v>
      </c>
      <c r="C1428" s="568" t="s">
        <v>938</v>
      </c>
      <c r="D1428" s="567">
        <v>274</v>
      </c>
      <c r="E1428" s="567">
        <v>39</v>
      </c>
      <c r="F1428" s="567">
        <v>20</v>
      </c>
      <c r="G1428" s="567">
        <v>126</v>
      </c>
      <c r="H1428" s="567">
        <v>1190</v>
      </c>
      <c r="O1428"/>
    </row>
    <row r="1429" spans="1:15" x14ac:dyDescent="0.2">
      <c r="A1429" s="567">
        <v>173</v>
      </c>
      <c r="B1429" s="568" t="s">
        <v>932</v>
      </c>
      <c r="C1429" s="568" t="s">
        <v>940</v>
      </c>
      <c r="D1429" s="567">
        <v>272</v>
      </c>
      <c r="E1429" s="567">
        <v>39</v>
      </c>
      <c r="F1429" s="567">
        <v>20</v>
      </c>
      <c r="G1429" s="567">
        <v>126</v>
      </c>
      <c r="H1429" s="567">
        <v>1190</v>
      </c>
      <c r="O1429"/>
    </row>
    <row r="1430" spans="1:15" x14ac:dyDescent="0.2">
      <c r="A1430" s="567">
        <v>171</v>
      </c>
      <c r="B1430" s="568" t="s">
        <v>932</v>
      </c>
      <c r="C1430" s="568" t="s">
        <v>932</v>
      </c>
      <c r="D1430" s="567">
        <v>270</v>
      </c>
      <c r="E1430" s="567">
        <v>39</v>
      </c>
      <c r="F1430" s="567">
        <v>20</v>
      </c>
      <c r="G1430" s="567">
        <v>126</v>
      </c>
      <c r="H1430" s="567">
        <v>1190</v>
      </c>
      <c r="O1430"/>
    </row>
    <row r="1431" spans="1:15" x14ac:dyDescent="0.2">
      <c r="A1431" s="567">
        <v>174</v>
      </c>
      <c r="B1431" s="568" t="s">
        <v>932</v>
      </c>
      <c r="C1431" s="568" t="s">
        <v>949</v>
      </c>
      <c r="D1431" s="567">
        <v>273</v>
      </c>
      <c r="E1431" s="567">
        <v>39</v>
      </c>
      <c r="F1431" s="567">
        <v>20</v>
      </c>
      <c r="G1431" s="567">
        <v>126</v>
      </c>
      <c r="H1431" s="567">
        <v>1190</v>
      </c>
      <c r="O1431"/>
    </row>
    <row r="1432" spans="1:15" x14ac:dyDescent="0.2">
      <c r="A1432" s="567">
        <v>503</v>
      </c>
      <c r="B1432" s="568" t="s">
        <v>799</v>
      </c>
      <c r="C1432" s="568" t="s">
        <v>798</v>
      </c>
      <c r="D1432" s="567">
        <v>996</v>
      </c>
      <c r="E1432" s="567">
        <v>77</v>
      </c>
      <c r="F1432" s="567">
        <v>1</v>
      </c>
      <c r="G1432" s="567">
        <v>118</v>
      </c>
      <c r="H1432" s="567">
        <v>1170</v>
      </c>
      <c r="O1432"/>
    </row>
    <row r="1433" spans="1:15" x14ac:dyDescent="0.2">
      <c r="A1433" s="567">
        <v>502</v>
      </c>
      <c r="B1433" s="568" t="s">
        <v>799</v>
      </c>
      <c r="C1433" s="568" t="s">
        <v>800</v>
      </c>
      <c r="D1433" s="567">
        <v>995</v>
      </c>
      <c r="E1433" s="567">
        <v>77</v>
      </c>
      <c r="F1433" s="567">
        <v>1</v>
      </c>
      <c r="G1433" s="567">
        <v>118</v>
      </c>
      <c r="H1433" s="567">
        <v>1170</v>
      </c>
      <c r="O1433"/>
    </row>
    <row r="1434" spans="1:15" x14ac:dyDescent="0.2">
      <c r="A1434" s="567">
        <v>3092</v>
      </c>
      <c r="B1434" s="568" t="s">
        <v>2753</v>
      </c>
      <c r="C1434" s="568" t="s">
        <v>2752</v>
      </c>
      <c r="D1434" s="567">
        <v>8952</v>
      </c>
      <c r="E1434" s="567">
        <v>62</v>
      </c>
      <c r="F1434" s="567">
        <v>11</v>
      </c>
      <c r="G1434" s="567">
        <v>426</v>
      </c>
      <c r="H1434" s="567">
        <v>4110</v>
      </c>
      <c r="O1434"/>
    </row>
    <row r="1435" spans="1:15" x14ac:dyDescent="0.2">
      <c r="A1435" s="567">
        <v>3090</v>
      </c>
      <c r="B1435" s="568" t="s">
        <v>2753</v>
      </c>
      <c r="C1435" s="568" t="s">
        <v>2753</v>
      </c>
      <c r="D1435" s="567">
        <v>8950</v>
      </c>
      <c r="E1435" s="567">
        <v>62</v>
      </c>
      <c r="F1435" s="567">
        <v>11</v>
      </c>
      <c r="G1435" s="567">
        <v>426</v>
      </c>
      <c r="H1435" s="567">
        <v>4110</v>
      </c>
      <c r="O1435"/>
    </row>
    <row r="1436" spans="1:15" x14ac:dyDescent="0.2">
      <c r="A1436" s="567">
        <v>3091</v>
      </c>
      <c r="B1436" s="568" t="s">
        <v>2753</v>
      </c>
      <c r="C1436" s="568" t="s">
        <v>2755</v>
      </c>
      <c r="D1436" s="567">
        <v>8951</v>
      </c>
      <c r="E1436" s="567">
        <v>62</v>
      </c>
      <c r="F1436" s="567">
        <v>11</v>
      </c>
      <c r="G1436" s="567">
        <v>426</v>
      </c>
      <c r="H1436" s="567">
        <v>4110</v>
      </c>
      <c r="O1436"/>
    </row>
    <row r="1437" spans="1:15" x14ac:dyDescent="0.2">
      <c r="A1437" s="567">
        <v>3093</v>
      </c>
      <c r="B1437" s="568" t="s">
        <v>2753</v>
      </c>
      <c r="C1437" s="568" t="s">
        <v>2756</v>
      </c>
      <c r="D1437" s="567">
        <v>8953</v>
      </c>
      <c r="E1437" s="567">
        <v>62</v>
      </c>
      <c r="F1437" s="567">
        <v>11</v>
      </c>
      <c r="G1437" s="567">
        <v>426</v>
      </c>
      <c r="H1437" s="567">
        <v>4110</v>
      </c>
      <c r="O1437"/>
    </row>
    <row r="1438" spans="1:15" x14ac:dyDescent="0.2">
      <c r="A1438" s="567">
        <v>3094</v>
      </c>
      <c r="B1438" s="568" t="s">
        <v>2753</v>
      </c>
      <c r="C1438" s="568" t="s">
        <v>2764</v>
      </c>
      <c r="D1438" s="567">
        <v>8954</v>
      </c>
      <c r="E1438" s="567">
        <v>62</v>
      </c>
      <c r="F1438" s="567">
        <v>11</v>
      </c>
      <c r="G1438" s="567">
        <v>426</v>
      </c>
      <c r="H1438" s="567">
        <v>4110</v>
      </c>
      <c r="O1438"/>
    </row>
    <row r="1439" spans="1:15" x14ac:dyDescent="0.2">
      <c r="A1439" s="567">
        <v>3130</v>
      </c>
      <c r="B1439" s="568" t="s">
        <v>3109</v>
      </c>
      <c r="C1439" s="568" t="s">
        <v>3108</v>
      </c>
      <c r="D1439" s="567">
        <v>9072</v>
      </c>
      <c r="E1439" s="567">
        <v>59</v>
      </c>
      <c r="F1439" s="567">
        <v>11</v>
      </c>
      <c r="G1439" s="567">
        <v>437</v>
      </c>
      <c r="H1439" s="567">
        <v>4151</v>
      </c>
      <c r="O1439"/>
    </row>
    <row r="1440" spans="1:15" x14ac:dyDescent="0.2">
      <c r="A1440" s="567">
        <v>3129</v>
      </c>
      <c r="B1440" s="568" t="s">
        <v>3109</v>
      </c>
      <c r="C1440" s="568" t="s">
        <v>3112</v>
      </c>
      <c r="D1440" s="567">
        <v>9071</v>
      </c>
      <c r="E1440" s="567">
        <v>59</v>
      </c>
      <c r="F1440" s="567">
        <v>11</v>
      </c>
      <c r="G1440" s="567">
        <v>437</v>
      </c>
      <c r="H1440" s="567">
        <v>4151</v>
      </c>
      <c r="O1440"/>
    </row>
    <row r="1441" spans="1:15" x14ac:dyDescent="0.2">
      <c r="A1441" s="567">
        <v>3128</v>
      </c>
      <c r="B1441" s="568" t="s">
        <v>3109</v>
      </c>
      <c r="C1441" s="568" t="s">
        <v>3109</v>
      </c>
      <c r="D1441" s="567">
        <v>9070</v>
      </c>
      <c r="E1441" s="567">
        <v>59</v>
      </c>
      <c r="F1441" s="567">
        <v>11</v>
      </c>
      <c r="G1441" s="567">
        <v>437</v>
      </c>
      <c r="H1441" s="567">
        <v>4151</v>
      </c>
      <c r="O1441"/>
    </row>
    <row r="1442" spans="1:15" x14ac:dyDescent="0.2">
      <c r="A1442" s="567">
        <v>2563</v>
      </c>
      <c r="B1442" s="568" t="s">
        <v>2037</v>
      </c>
      <c r="C1442" s="568" t="s">
        <v>2037</v>
      </c>
      <c r="D1442" s="567">
        <v>7360</v>
      </c>
      <c r="E1442" s="567">
        <v>43</v>
      </c>
      <c r="F1442" s="567">
        <v>3</v>
      </c>
      <c r="G1442" s="567">
        <v>336</v>
      </c>
      <c r="H1442" s="567">
        <v>3130</v>
      </c>
      <c r="O1442"/>
    </row>
    <row r="1443" spans="1:15" x14ac:dyDescent="0.2">
      <c r="A1443" s="567">
        <v>2197</v>
      </c>
      <c r="B1443" s="568" t="s">
        <v>2451</v>
      </c>
      <c r="C1443" s="568" t="s">
        <v>2451</v>
      </c>
      <c r="D1443" s="567">
        <v>6335</v>
      </c>
      <c r="E1443" s="567">
        <v>27</v>
      </c>
      <c r="F1443" s="567">
        <v>15</v>
      </c>
      <c r="G1443" s="567">
        <v>327</v>
      </c>
      <c r="H1443" s="567">
        <v>3170</v>
      </c>
      <c r="O1443"/>
    </row>
    <row r="1444" spans="1:15" x14ac:dyDescent="0.2">
      <c r="A1444" s="567">
        <v>3319</v>
      </c>
      <c r="B1444" s="568" t="s">
        <v>2814</v>
      </c>
      <c r="C1444" s="568" t="s">
        <v>2813</v>
      </c>
      <c r="D1444" s="567">
        <v>9673</v>
      </c>
      <c r="E1444" s="567">
        <v>49</v>
      </c>
      <c r="F1444" s="567">
        <v>10</v>
      </c>
      <c r="G1444" s="567">
        <v>436</v>
      </c>
      <c r="H1444" s="567">
        <v>4120</v>
      </c>
      <c r="O1444"/>
    </row>
    <row r="1445" spans="1:15" x14ac:dyDescent="0.2">
      <c r="A1445" s="567">
        <v>3318</v>
      </c>
      <c r="B1445" s="568" t="s">
        <v>2814</v>
      </c>
      <c r="C1445" s="568" t="s">
        <v>2815</v>
      </c>
      <c r="D1445" s="567">
        <v>9672</v>
      </c>
      <c r="E1445" s="567">
        <v>49</v>
      </c>
      <c r="F1445" s="567">
        <v>10</v>
      </c>
      <c r="G1445" s="567">
        <v>436</v>
      </c>
      <c r="H1445" s="567">
        <v>4120</v>
      </c>
      <c r="O1445"/>
    </row>
    <row r="1446" spans="1:15" x14ac:dyDescent="0.2">
      <c r="A1446" s="567">
        <v>3317</v>
      </c>
      <c r="B1446" s="568" t="s">
        <v>2814</v>
      </c>
      <c r="C1446" s="568" t="s">
        <v>838</v>
      </c>
      <c r="D1446" s="567">
        <v>9671</v>
      </c>
      <c r="E1446" s="567">
        <v>49</v>
      </c>
      <c r="F1446" s="567">
        <v>10</v>
      </c>
      <c r="G1446" s="567">
        <v>436</v>
      </c>
      <c r="H1446" s="567">
        <v>4120</v>
      </c>
      <c r="O1446"/>
    </row>
    <row r="1447" spans="1:15" x14ac:dyDescent="0.2">
      <c r="A1447" s="567">
        <v>3316</v>
      </c>
      <c r="B1447" s="568" t="s">
        <v>2814</v>
      </c>
      <c r="C1447" s="568" t="s">
        <v>2816</v>
      </c>
      <c r="D1447" s="567">
        <v>9670</v>
      </c>
      <c r="E1447" s="567">
        <v>49</v>
      </c>
      <c r="F1447" s="567">
        <v>10</v>
      </c>
      <c r="G1447" s="567">
        <v>436</v>
      </c>
      <c r="H1447" s="567">
        <v>4120</v>
      </c>
      <c r="O1447"/>
    </row>
    <row r="1448" spans="1:15" x14ac:dyDescent="0.2">
      <c r="A1448" s="567">
        <v>3320</v>
      </c>
      <c r="B1448" s="568" t="s">
        <v>2814</v>
      </c>
      <c r="C1448" s="568" t="s">
        <v>1231</v>
      </c>
      <c r="D1448" s="567">
        <v>9674</v>
      </c>
      <c r="E1448" s="567">
        <v>49</v>
      </c>
      <c r="F1448" s="567">
        <v>10</v>
      </c>
      <c r="G1448" s="567">
        <v>436</v>
      </c>
      <c r="H1448" s="567">
        <v>4120</v>
      </c>
      <c r="O1448"/>
    </row>
    <row r="1449" spans="1:15" x14ac:dyDescent="0.2">
      <c r="A1449" s="567">
        <v>1444</v>
      </c>
      <c r="B1449" s="568" t="s">
        <v>1581</v>
      </c>
      <c r="C1449" s="568" t="s">
        <v>1581</v>
      </c>
      <c r="D1449" s="567">
        <v>3950</v>
      </c>
      <c r="E1449" s="567">
        <v>30</v>
      </c>
      <c r="F1449" s="567">
        <v>2</v>
      </c>
      <c r="G1449" s="567">
        <v>236</v>
      </c>
      <c r="H1449" s="567">
        <v>2150</v>
      </c>
      <c r="O1449"/>
    </row>
    <row r="1450" spans="1:15" x14ac:dyDescent="0.2">
      <c r="A1450" s="567">
        <v>402</v>
      </c>
      <c r="B1450" s="568" t="s">
        <v>563</v>
      </c>
      <c r="C1450" s="568" t="s">
        <v>563</v>
      </c>
      <c r="D1450" s="567">
        <v>740</v>
      </c>
      <c r="E1450" s="567">
        <v>47</v>
      </c>
      <c r="F1450" s="567">
        <v>2</v>
      </c>
      <c r="G1450" s="567">
        <v>125</v>
      </c>
      <c r="H1450" s="567">
        <v>1150</v>
      </c>
      <c r="O1450"/>
    </row>
    <row r="1451" spans="1:15" x14ac:dyDescent="0.2">
      <c r="A1451" s="567">
        <v>357</v>
      </c>
      <c r="B1451" s="568" t="s">
        <v>573</v>
      </c>
      <c r="C1451" s="568" t="s">
        <v>573</v>
      </c>
      <c r="D1451" s="567">
        <v>630</v>
      </c>
      <c r="E1451" s="567">
        <v>48</v>
      </c>
      <c r="F1451" s="567">
        <v>21</v>
      </c>
      <c r="G1451" s="567">
        <v>125</v>
      </c>
      <c r="H1451" s="567">
        <v>1150</v>
      </c>
      <c r="O1451"/>
    </row>
    <row r="1452" spans="1:15" x14ac:dyDescent="0.2">
      <c r="A1452" s="567">
        <v>358</v>
      </c>
      <c r="B1452" s="568" t="s">
        <v>573</v>
      </c>
      <c r="C1452" s="568" t="s">
        <v>574</v>
      </c>
      <c r="D1452" s="567">
        <v>631</v>
      </c>
      <c r="E1452" s="567">
        <v>48</v>
      </c>
      <c r="F1452" s="567">
        <v>21</v>
      </c>
      <c r="G1452" s="567">
        <v>125</v>
      </c>
      <c r="H1452" s="567">
        <v>1150</v>
      </c>
      <c r="O1452"/>
    </row>
    <row r="1453" spans="1:15" x14ac:dyDescent="0.2">
      <c r="A1453" s="567">
        <v>884</v>
      </c>
      <c r="B1453" s="568" t="s">
        <v>91</v>
      </c>
      <c r="C1453" s="568" t="s">
        <v>91</v>
      </c>
      <c r="D1453" s="567">
        <v>2250</v>
      </c>
      <c r="E1453" s="567">
        <v>35</v>
      </c>
      <c r="F1453" s="567">
        <v>19</v>
      </c>
      <c r="G1453" s="567">
        <v>136</v>
      </c>
      <c r="H1453" s="567">
        <v>1101</v>
      </c>
      <c r="O1453"/>
    </row>
    <row r="1454" spans="1:15" x14ac:dyDescent="0.2">
      <c r="A1454" s="567">
        <v>2420</v>
      </c>
      <c r="B1454" s="568" t="s">
        <v>2466</v>
      </c>
      <c r="C1454" s="568" t="s">
        <v>2465</v>
      </c>
      <c r="D1454" s="567">
        <v>6946</v>
      </c>
      <c r="E1454" s="567">
        <v>60</v>
      </c>
      <c r="F1454" s="567">
        <v>3</v>
      </c>
      <c r="G1454" s="567">
        <v>337</v>
      </c>
      <c r="H1454" s="567">
        <v>3180</v>
      </c>
      <c r="O1454"/>
    </row>
    <row r="1455" spans="1:15" x14ac:dyDescent="0.2">
      <c r="A1455" s="567">
        <v>2419</v>
      </c>
      <c r="B1455" s="568" t="s">
        <v>2466</v>
      </c>
      <c r="C1455" s="568" t="s">
        <v>2466</v>
      </c>
      <c r="D1455" s="567">
        <v>6945</v>
      </c>
      <c r="E1455" s="567">
        <v>60</v>
      </c>
      <c r="F1455" s="567">
        <v>3</v>
      </c>
      <c r="G1455" s="567">
        <v>337</v>
      </c>
      <c r="H1455" s="567">
        <v>3180</v>
      </c>
      <c r="O1455"/>
    </row>
    <row r="1456" spans="1:15" x14ac:dyDescent="0.2">
      <c r="A1456" s="567">
        <v>726</v>
      </c>
      <c r="B1456" s="568" t="s">
        <v>683</v>
      </c>
      <c r="C1456" s="568" t="s">
        <v>682</v>
      </c>
      <c r="D1456" s="567">
        <v>1651</v>
      </c>
      <c r="E1456" s="567">
        <v>53</v>
      </c>
      <c r="F1456" s="567">
        <v>2</v>
      </c>
      <c r="G1456" s="567">
        <v>115</v>
      </c>
      <c r="H1456" s="567">
        <v>1161</v>
      </c>
      <c r="O1456"/>
    </row>
    <row r="1457" spans="1:15" x14ac:dyDescent="0.2">
      <c r="A1457" s="567">
        <v>725</v>
      </c>
      <c r="B1457" s="568" t="s">
        <v>683</v>
      </c>
      <c r="C1457" s="568" t="s">
        <v>684</v>
      </c>
      <c r="D1457" s="567">
        <v>1650</v>
      </c>
      <c r="E1457" s="567">
        <v>53</v>
      </c>
      <c r="F1457" s="567">
        <v>2</v>
      </c>
      <c r="G1457" s="567">
        <v>115</v>
      </c>
      <c r="H1457" s="567">
        <v>1161</v>
      </c>
      <c r="O1457"/>
    </row>
    <row r="1458" spans="1:15" x14ac:dyDescent="0.2">
      <c r="A1458" s="567">
        <v>2753</v>
      </c>
      <c r="B1458" s="568" t="s">
        <v>2661</v>
      </c>
      <c r="C1458" s="568" t="s">
        <v>2661</v>
      </c>
      <c r="D1458" s="567">
        <v>7905</v>
      </c>
      <c r="E1458" s="567">
        <v>36</v>
      </c>
      <c r="F1458" s="567">
        <v>16</v>
      </c>
      <c r="G1458" s="567">
        <v>417</v>
      </c>
      <c r="H1458" s="567">
        <v>4100</v>
      </c>
      <c r="O1458"/>
    </row>
    <row r="1459" spans="1:15" x14ac:dyDescent="0.2">
      <c r="A1459" s="567">
        <v>590</v>
      </c>
      <c r="B1459" s="568" t="s">
        <v>254</v>
      </c>
      <c r="C1459" s="568" t="s">
        <v>254</v>
      </c>
      <c r="D1459" s="567">
        <v>1290</v>
      </c>
      <c r="E1459" s="567">
        <v>37</v>
      </c>
      <c r="F1459" s="567">
        <v>19</v>
      </c>
      <c r="G1459" s="567">
        <v>119</v>
      </c>
      <c r="H1459" s="567">
        <v>1110</v>
      </c>
      <c r="O1459"/>
    </row>
    <row r="1460" spans="1:15" x14ac:dyDescent="0.2">
      <c r="A1460" s="567">
        <v>1440</v>
      </c>
      <c r="B1460" s="568" t="s">
        <v>1586</v>
      </c>
      <c r="C1460" s="568" t="s">
        <v>1585</v>
      </c>
      <c r="D1460" s="567">
        <v>3936</v>
      </c>
      <c r="E1460" s="567">
        <v>74</v>
      </c>
      <c r="F1460" s="567">
        <v>2</v>
      </c>
      <c r="G1460" s="567">
        <v>236</v>
      </c>
      <c r="H1460" s="567">
        <v>2150</v>
      </c>
      <c r="O1460"/>
    </row>
    <row r="1461" spans="1:15" x14ac:dyDescent="0.2">
      <c r="A1461" s="567">
        <v>1439</v>
      </c>
      <c r="B1461" s="568" t="s">
        <v>1586</v>
      </c>
      <c r="C1461" s="568" t="s">
        <v>1607</v>
      </c>
      <c r="D1461" s="567">
        <v>3935</v>
      </c>
      <c r="E1461" s="567">
        <v>74</v>
      </c>
      <c r="F1461" s="567">
        <v>2</v>
      </c>
      <c r="G1461" s="567">
        <v>236</v>
      </c>
      <c r="H1461" s="567">
        <v>2150</v>
      </c>
      <c r="O1461"/>
    </row>
    <row r="1462" spans="1:15" x14ac:dyDescent="0.2">
      <c r="A1462" s="567">
        <v>2510</v>
      </c>
      <c r="B1462" s="568" t="s">
        <v>2090</v>
      </c>
      <c r="C1462" s="568" t="s">
        <v>2089</v>
      </c>
      <c r="D1462" s="567">
        <v>7214</v>
      </c>
      <c r="E1462" s="567">
        <v>45</v>
      </c>
      <c r="F1462" s="567">
        <v>3</v>
      </c>
      <c r="G1462" s="567">
        <v>336</v>
      </c>
      <c r="H1462" s="567">
        <v>3130</v>
      </c>
      <c r="O1462"/>
    </row>
    <row r="1463" spans="1:15" x14ac:dyDescent="0.2">
      <c r="A1463" s="567">
        <v>2511</v>
      </c>
      <c r="B1463" s="568" t="s">
        <v>2090</v>
      </c>
      <c r="C1463" s="568" t="s">
        <v>2103</v>
      </c>
      <c r="D1463" s="567">
        <v>7215</v>
      </c>
      <c r="E1463" s="567">
        <v>45</v>
      </c>
      <c r="F1463" s="567">
        <v>3</v>
      </c>
      <c r="G1463" s="567">
        <v>336</v>
      </c>
      <c r="H1463" s="567">
        <v>3130</v>
      </c>
      <c r="O1463"/>
    </row>
    <row r="1464" spans="1:15" x14ac:dyDescent="0.2">
      <c r="A1464" s="567">
        <v>2509</v>
      </c>
      <c r="B1464" s="568" t="s">
        <v>2090</v>
      </c>
      <c r="C1464" s="568" t="s">
        <v>2104</v>
      </c>
      <c r="D1464" s="567">
        <v>7213</v>
      </c>
      <c r="E1464" s="567">
        <v>45</v>
      </c>
      <c r="F1464" s="567">
        <v>3</v>
      </c>
      <c r="G1464" s="567">
        <v>336</v>
      </c>
      <c r="H1464" s="567">
        <v>3130</v>
      </c>
      <c r="O1464"/>
    </row>
    <row r="1465" spans="1:15" x14ac:dyDescent="0.2">
      <c r="A1465" s="567">
        <v>2508</v>
      </c>
      <c r="B1465" s="568" t="s">
        <v>2090</v>
      </c>
      <c r="C1465" s="568" t="s">
        <v>2105</v>
      </c>
      <c r="D1465" s="567">
        <v>7212</v>
      </c>
      <c r="E1465" s="567">
        <v>45</v>
      </c>
      <c r="F1465" s="567">
        <v>3</v>
      </c>
      <c r="G1465" s="567">
        <v>336</v>
      </c>
      <c r="H1465" s="567">
        <v>3130</v>
      </c>
      <c r="O1465"/>
    </row>
    <row r="1466" spans="1:15" x14ac:dyDescent="0.2">
      <c r="A1466" s="567">
        <v>2507</v>
      </c>
      <c r="B1466" s="568" t="s">
        <v>2090</v>
      </c>
      <c r="C1466" s="568" t="s">
        <v>708</v>
      </c>
      <c r="D1466" s="567">
        <v>7211</v>
      </c>
      <c r="E1466" s="567">
        <v>45</v>
      </c>
      <c r="F1466" s="567">
        <v>3</v>
      </c>
      <c r="G1466" s="567">
        <v>336</v>
      </c>
      <c r="H1466" s="567">
        <v>3130</v>
      </c>
      <c r="O1466"/>
    </row>
    <row r="1467" spans="1:15" x14ac:dyDescent="0.2">
      <c r="A1467" s="567">
        <v>2506</v>
      </c>
      <c r="B1467" s="568" t="s">
        <v>2090</v>
      </c>
      <c r="C1467" s="568" t="s">
        <v>2090</v>
      </c>
      <c r="D1467" s="567">
        <v>7210</v>
      </c>
      <c r="E1467" s="567">
        <v>45</v>
      </c>
      <c r="F1467" s="567">
        <v>3</v>
      </c>
      <c r="G1467" s="567">
        <v>336</v>
      </c>
      <c r="H1467" s="567">
        <v>3130</v>
      </c>
      <c r="O1467"/>
    </row>
    <row r="1468" spans="1:15" x14ac:dyDescent="0.2">
      <c r="A1468" s="567">
        <v>2512</v>
      </c>
      <c r="B1468" s="568" t="s">
        <v>2090</v>
      </c>
      <c r="C1468" s="568" t="s">
        <v>2114</v>
      </c>
      <c r="D1468" s="567">
        <v>7216</v>
      </c>
      <c r="E1468" s="567">
        <v>45</v>
      </c>
      <c r="F1468" s="567">
        <v>3</v>
      </c>
      <c r="G1468" s="567">
        <v>336</v>
      </c>
      <c r="H1468" s="567">
        <v>3130</v>
      </c>
      <c r="O1468"/>
    </row>
    <row r="1469" spans="1:15" x14ac:dyDescent="0.2">
      <c r="A1469" s="567">
        <v>3039</v>
      </c>
      <c r="B1469" s="568" t="s">
        <v>2761</v>
      </c>
      <c r="C1469" s="568" t="s">
        <v>2761</v>
      </c>
      <c r="D1469" s="567">
        <v>8745</v>
      </c>
      <c r="E1469" s="567">
        <v>64</v>
      </c>
      <c r="F1469" s="567">
        <v>11</v>
      </c>
      <c r="G1469" s="567">
        <v>426</v>
      </c>
      <c r="H1469" s="567">
        <v>4110</v>
      </c>
      <c r="O1469"/>
    </row>
    <row r="1470" spans="1:15" x14ac:dyDescent="0.2">
      <c r="A1470" s="567">
        <v>1785</v>
      </c>
      <c r="B1470" s="568" t="s">
        <v>2182</v>
      </c>
      <c r="C1470" s="568" t="s">
        <v>1737</v>
      </c>
      <c r="D1470" s="567">
        <v>4901</v>
      </c>
      <c r="E1470" s="567">
        <v>152</v>
      </c>
      <c r="F1470" s="567">
        <v>3</v>
      </c>
      <c r="G1470" s="567">
        <v>317</v>
      </c>
      <c r="H1470" s="567">
        <v>3140</v>
      </c>
      <c r="O1470"/>
    </row>
    <row r="1471" spans="1:15" x14ac:dyDescent="0.2">
      <c r="A1471" s="567">
        <v>1784</v>
      </c>
      <c r="B1471" s="568" t="s">
        <v>2182</v>
      </c>
      <c r="C1471" s="568" t="s">
        <v>2191</v>
      </c>
      <c r="D1471" s="567">
        <v>4900</v>
      </c>
      <c r="E1471" s="567">
        <v>152</v>
      </c>
      <c r="F1471" s="567">
        <v>3</v>
      </c>
      <c r="G1471" s="567">
        <v>317</v>
      </c>
      <c r="H1471" s="567">
        <v>3140</v>
      </c>
      <c r="O1471"/>
    </row>
    <row r="1472" spans="1:15" x14ac:dyDescent="0.2">
      <c r="A1472" s="567">
        <v>1678</v>
      </c>
      <c r="B1472" s="568" t="s">
        <v>2192</v>
      </c>
      <c r="C1472" s="568" t="s">
        <v>2192</v>
      </c>
      <c r="D1472" s="567">
        <v>4600</v>
      </c>
      <c r="E1472" s="567">
        <v>56</v>
      </c>
      <c r="F1472" s="567">
        <v>3</v>
      </c>
      <c r="G1472" s="567">
        <v>317</v>
      </c>
      <c r="H1472" s="567">
        <v>3140</v>
      </c>
      <c r="O1472"/>
    </row>
    <row r="1473" spans="1:15" x14ac:dyDescent="0.2">
      <c r="A1473" s="567">
        <v>1679</v>
      </c>
      <c r="B1473" s="568" t="s">
        <v>2192</v>
      </c>
      <c r="C1473" s="568" t="s">
        <v>2193</v>
      </c>
      <c r="D1473" s="567">
        <v>4601</v>
      </c>
      <c r="E1473" s="567">
        <v>56</v>
      </c>
      <c r="F1473" s="567">
        <v>3</v>
      </c>
      <c r="G1473" s="567">
        <v>317</v>
      </c>
      <c r="H1473" s="567">
        <v>3140</v>
      </c>
      <c r="O1473"/>
    </row>
    <row r="1474" spans="1:15" x14ac:dyDescent="0.2">
      <c r="A1474" s="567">
        <v>1323</v>
      </c>
      <c r="B1474" s="568" t="s">
        <v>1317</v>
      </c>
      <c r="C1474" s="568" t="s">
        <v>1316</v>
      </c>
      <c r="D1474" s="567">
        <v>3585</v>
      </c>
      <c r="E1474" s="567">
        <v>96</v>
      </c>
      <c r="F1474" s="567">
        <v>2</v>
      </c>
      <c r="G1474" s="567">
        <v>215</v>
      </c>
      <c r="H1474" s="567">
        <v>2121</v>
      </c>
      <c r="O1474"/>
    </row>
    <row r="1475" spans="1:15" x14ac:dyDescent="0.2">
      <c r="A1475" s="567">
        <v>1324</v>
      </c>
      <c r="B1475" s="568" t="s">
        <v>1317</v>
      </c>
      <c r="C1475" s="568" t="s">
        <v>1318</v>
      </c>
      <c r="D1475" s="567">
        <v>3586</v>
      </c>
      <c r="E1475" s="567">
        <v>96</v>
      </c>
      <c r="F1475" s="567">
        <v>2</v>
      </c>
      <c r="G1475" s="567">
        <v>215</v>
      </c>
      <c r="H1475" s="567">
        <v>2121</v>
      </c>
      <c r="O1475"/>
    </row>
    <row r="1476" spans="1:15" x14ac:dyDescent="0.2">
      <c r="A1476" s="567">
        <v>1327</v>
      </c>
      <c r="B1476" s="568" t="s">
        <v>1317</v>
      </c>
      <c r="C1476" s="568" t="s">
        <v>801</v>
      </c>
      <c r="D1476" s="567">
        <v>3589</v>
      </c>
      <c r="E1476" s="567">
        <v>96</v>
      </c>
      <c r="F1476" s="567">
        <v>2</v>
      </c>
      <c r="G1476" s="567">
        <v>215</v>
      </c>
      <c r="H1476" s="567">
        <v>2121</v>
      </c>
      <c r="O1476"/>
    </row>
    <row r="1477" spans="1:15" x14ac:dyDescent="0.2">
      <c r="A1477" s="567">
        <v>1326</v>
      </c>
      <c r="B1477" s="568" t="s">
        <v>1317</v>
      </c>
      <c r="C1477" s="568" t="s">
        <v>1320</v>
      </c>
      <c r="D1477" s="567">
        <v>3588</v>
      </c>
      <c r="E1477" s="567">
        <v>96</v>
      </c>
      <c r="F1477" s="567">
        <v>2</v>
      </c>
      <c r="G1477" s="567">
        <v>215</v>
      </c>
      <c r="H1477" s="567">
        <v>2121</v>
      </c>
      <c r="O1477"/>
    </row>
    <row r="1478" spans="1:15" x14ac:dyDescent="0.2">
      <c r="A1478" s="567">
        <v>1325</v>
      </c>
      <c r="B1478" s="568" t="s">
        <v>1317</v>
      </c>
      <c r="C1478" s="568" t="s">
        <v>1330</v>
      </c>
      <c r="D1478" s="567">
        <v>3587</v>
      </c>
      <c r="E1478" s="567">
        <v>96</v>
      </c>
      <c r="F1478" s="567">
        <v>2</v>
      </c>
      <c r="G1478" s="567">
        <v>215</v>
      </c>
      <c r="H1478" s="567">
        <v>2121</v>
      </c>
      <c r="O1478"/>
    </row>
    <row r="1479" spans="1:15" x14ac:dyDescent="0.2">
      <c r="A1479" s="567">
        <v>1271</v>
      </c>
      <c r="B1479" s="568" t="s">
        <v>1250</v>
      </c>
      <c r="C1479" s="568" t="s">
        <v>1249</v>
      </c>
      <c r="D1479" s="567">
        <v>3441</v>
      </c>
      <c r="E1479" s="567">
        <v>103</v>
      </c>
      <c r="F1479" s="567">
        <v>3</v>
      </c>
      <c r="G1479" s="567">
        <v>215</v>
      </c>
      <c r="H1479" s="567">
        <v>2121</v>
      </c>
      <c r="O1479"/>
    </row>
    <row r="1480" spans="1:15" x14ac:dyDescent="0.2">
      <c r="A1480" s="567">
        <v>1270</v>
      </c>
      <c r="B1480" s="568" t="s">
        <v>1250</v>
      </c>
      <c r="C1480" s="568" t="s">
        <v>1259</v>
      </c>
      <c r="D1480" s="567">
        <v>3440</v>
      </c>
      <c r="E1480" s="567">
        <v>103</v>
      </c>
      <c r="F1480" s="567">
        <v>3</v>
      </c>
      <c r="G1480" s="567">
        <v>215</v>
      </c>
      <c r="H1480" s="567">
        <v>2121</v>
      </c>
      <c r="O1480"/>
    </row>
    <row r="1481" spans="1:15" x14ac:dyDescent="0.2">
      <c r="A1481" s="567">
        <v>1335</v>
      </c>
      <c r="B1481" s="568" t="s">
        <v>1327</v>
      </c>
      <c r="C1481" s="568" t="s">
        <v>1327</v>
      </c>
      <c r="D1481" s="567">
        <v>3620</v>
      </c>
      <c r="E1481" s="567">
        <v>0</v>
      </c>
      <c r="F1481" s="567">
        <v>3</v>
      </c>
      <c r="G1481" s="567">
        <v>212</v>
      </c>
      <c r="H1481" s="567">
        <v>2121</v>
      </c>
      <c r="O1481"/>
    </row>
    <row r="1482" spans="1:15" x14ac:dyDescent="0.2">
      <c r="A1482" s="567">
        <v>1336</v>
      </c>
      <c r="B1482" s="568" t="s">
        <v>1327</v>
      </c>
      <c r="C1482" s="568" t="s">
        <v>1328</v>
      </c>
      <c r="D1482" s="567">
        <v>3621</v>
      </c>
      <c r="E1482" s="567">
        <v>0</v>
      </c>
      <c r="F1482" s="567">
        <v>3</v>
      </c>
      <c r="G1482" s="567">
        <v>212</v>
      </c>
      <c r="H1482" s="567">
        <v>2121</v>
      </c>
      <c r="O1482"/>
    </row>
    <row r="1483" spans="1:15" x14ac:dyDescent="0.2">
      <c r="A1483" s="567">
        <v>1337</v>
      </c>
      <c r="B1483" s="568" t="s">
        <v>1327</v>
      </c>
      <c r="C1483" s="568" t="s">
        <v>893</v>
      </c>
      <c r="D1483" s="567">
        <v>3622</v>
      </c>
      <c r="E1483" s="567">
        <v>0</v>
      </c>
      <c r="F1483" s="567">
        <v>3</v>
      </c>
      <c r="G1483" s="567">
        <v>212</v>
      </c>
      <c r="H1483" s="567">
        <v>2121</v>
      </c>
      <c r="O1483"/>
    </row>
    <row r="1484" spans="1:15" x14ac:dyDescent="0.2">
      <c r="A1484" s="567">
        <v>1706</v>
      </c>
      <c r="B1484" s="568" t="s">
        <v>2248</v>
      </c>
      <c r="C1484" s="568" t="s">
        <v>2247</v>
      </c>
      <c r="D1484" s="567">
        <v>4681</v>
      </c>
      <c r="E1484" s="567">
        <v>57</v>
      </c>
      <c r="F1484" s="567">
        <v>3</v>
      </c>
      <c r="G1484" s="567">
        <v>317</v>
      </c>
      <c r="H1484" s="567">
        <v>3140</v>
      </c>
      <c r="O1484"/>
    </row>
    <row r="1485" spans="1:15" x14ac:dyDescent="0.2">
      <c r="A1485" s="567">
        <v>1715</v>
      </c>
      <c r="B1485" s="568" t="s">
        <v>2248</v>
      </c>
      <c r="C1485" s="568" t="s">
        <v>2252</v>
      </c>
      <c r="D1485" s="567">
        <v>4690</v>
      </c>
      <c r="E1485" s="567">
        <v>57</v>
      </c>
      <c r="F1485" s="567">
        <v>3</v>
      </c>
      <c r="G1485" s="567">
        <v>317</v>
      </c>
      <c r="H1485" s="567">
        <v>3140</v>
      </c>
      <c r="O1485"/>
    </row>
    <row r="1486" spans="1:15" x14ac:dyDescent="0.2">
      <c r="A1486" s="567">
        <v>1705</v>
      </c>
      <c r="B1486" s="568" t="s">
        <v>2248</v>
      </c>
      <c r="C1486" s="568" t="s">
        <v>2248</v>
      </c>
      <c r="D1486" s="567">
        <v>4680</v>
      </c>
      <c r="E1486" s="567">
        <v>57</v>
      </c>
      <c r="F1486" s="567">
        <v>3</v>
      </c>
      <c r="G1486" s="567">
        <v>317</v>
      </c>
      <c r="H1486" s="567">
        <v>3140</v>
      </c>
      <c r="O1486"/>
    </row>
    <row r="1487" spans="1:15" x14ac:dyDescent="0.2">
      <c r="A1487" s="567">
        <v>1707</v>
      </c>
      <c r="B1487" s="568" t="s">
        <v>2248</v>
      </c>
      <c r="C1487" s="568" t="s">
        <v>2258</v>
      </c>
      <c r="D1487" s="567">
        <v>4682</v>
      </c>
      <c r="E1487" s="567">
        <v>57</v>
      </c>
      <c r="F1487" s="567">
        <v>3</v>
      </c>
      <c r="G1487" s="567">
        <v>317</v>
      </c>
      <c r="H1487" s="567">
        <v>3140</v>
      </c>
      <c r="O1487"/>
    </row>
    <row r="1488" spans="1:15" x14ac:dyDescent="0.2">
      <c r="A1488" s="567">
        <v>1712</v>
      </c>
      <c r="B1488" s="568" t="s">
        <v>2248</v>
      </c>
      <c r="C1488" s="568" t="s">
        <v>2259</v>
      </c>
      <c r="D1488" s="567">
        <v>4687</v>
      </c>
      <c r="E1488" s="567">
        <v>57</v>
      </c>
      <c r="F1488" s="567">
        <v>3</v>
      </c>
      <c r="G1488" s="567">
        <v>317</v>
      </c>
      <c r="H1488" s="567">
        <v>3140</v>
      </c>
      <c r="O1488"/>
    </row>
    <row r="1489" spans="1:15" x14ac:dyDescent="0.2">
      <c r="A1489" s="567">
        <v>1714</v>
      </c>
      <c r="B1489" s="568" t="s">
        <v>2248</v>
      </c>
      <c r="C1489" s="568" t="s">
        <v>2260</v>
      </c>
      <c r="D1489" s="567">
        <v>4689</v>
      </c>
      <c r="E1489" s="567">
        <v>57</v>
      </c>
      <c r="F1489" s="567">
        <v>3</v>
      </c>
      <c r="G1489" s="567">
        <v>317</v>
      </c>
      <c r="H1489" s="567">
        <v>3140</v>
      </c>
      <c r="O1489"/>
    </row>
    <row r="1490" spans="1:15" x14ac:dyDescent="0.2">
      <c r="A1490" s="567">
        <v>1708</v>
      </c>
      <c r="B1490" s="568" t="s">
        <v>2248</v>
      </c>
      <c r="C1490" s="568" t="s">
        <v>2261</v>
      </c>
      <c r="D1490" s="567">
        <v>4683</v>
      </c>
      <c r="E1490" s="567">
        <v>57</v>
      </c>
      <c r="F1490" s="567">
        <v>3</v>
      </c>
      <c r="G1490" s="567">
        <v>317</v>
      </c>
      <c r="H1490" s="567">
        <v>3140</v>
      </c>
      <c r="O1490"/>
    </row>
    <row r="1491" spans="1:15" x14ac:dyDescent="0.2">
      <c r="A1491" s="567">
        <v>1709</v>
      </c>
      <c r="B1491" s="568" t="s">
        <v>2248</v>
      </c>
      <c r="C1491" s="568" t="s">
        <v>2262</v>
      </c>
      <c r="D1491" s="567">
        <v>4684</v>
      </c>
      <c r="E1491" s="567">
        <v>57</v>
      </c>
      <c r="F1491" s="567">
        <v>3</v>
      </c>
      <c r="G1491" s="567">
        <v>317</v>
      </c>
      <c r="H1491" s="567">
        <v>3140</v>
      </c>
      <c r="O1491"/>
    </row>
    <row r="1492" spans="1:15" x14ac:dyDescent="0.2">
      <c r="A1492" s="567">
        <v>1710</v>
      </c>
      <c r="B1492" s="568" t="s">
        <v>2248</v>
      </c>
      <c r="C1492" s="568" t="s">
        <v>2263</v>
      </c>
      <c r="D1492" s="567">
        <v>4685</v>
      </c>
      <c r="E1492" s="567">
        <v>57</v>
      </c>
      <c r="F1492" s="567">
        <v>3</v>
      </c>
      <c r="G1492" s="567">
        <v>317</v>
      </c>
      <c r="H1492" s="567">
        <v>3140</v>
      </c>
      <c r="O1492"/>
    </row>
    <row r="1493" spans="1:15" x14ac:dyDescent="0.2">
      <c r="A1493" s="567">
        <v>1711</v>
      </c>
      <c r="B1493" s="568" t="s">
        <v>2248</v>
      </c>
      <c r="C1493" s="568" t="s">
        <v>2264</v>
      </c>
      <c r="D1493" s="567">
        <v>4686</v>
      </c>
      <c r="E1493" s="567">
        <v>57</v>
      </c>
      <c r="F1493" s="567">
        <v>3</v>
      </c>
      <c r="G1493" s="567">
        <v>317</v>
      </c>
      <c r="H1493" s="567">
        <v>3140</v>
      </c>
      <c r="O1493"/>
    </row>
    <row r="1494" spans="1:15" x14ac:dyDescent="0.2">
      <c r="A1494" s="567">
        <v>1713</v>
      </c>
      <c r="B1494" s="568" t="s">
        <v>2248</v>
      </c>
      <c r="C1494" s="568" t="s">
        <v>2265</v>
      </c>
      <c r="D1494" s="567">
        <v>4688</v>
      </c>
      <c r="E1494" s="567">
        <v>57</v>
      </c>
      <c r="F1494" s="567">
        <v>3</v>
      </c>
      <c r="G1494" s="567">
        <v>317</v>
      </c>
      <c r="H1494" s="567">
        <v>3140</v>
      </c>
      <c r="O1494"/>
    </row>
    <row r="1495" spans="1:15" x14ac:dyDescent="0.2">
      <c r="A1495" s="567">
        <v>1455</v>
      </c>
      <c r="B1495" s="568" t="s">
        <v>1571</v>
      </c>
      <c r="C1495" s="568" t="s">
        <v>1570</v>
      </c>
      <c r="D1495" s="567">
        <v>4002</v>
      </c>
      <c r="E1495" s="567">
        <v>70</v>
      </c>
      <c r="F1495" s="567">
        <v>2</v>
      </c>
      <c r="G1495" s="567">
        <v>236</v>
      </c>
      <c r="H1495" s="567">
        <v>2150</v>
      </c>
      <c r="O1495"/>
    </row>
    <row r="1496" spans="1:15" x14ac:dyDescent="0.2">
      <c r="A1496" s="567">
        <v>1454</v>
      </c>
      <c r="B1496" s="568" t="s">
        <v>1571</v>
      </c>
      <c r="C1496" s="568" t="s">
        <v>1572</v>
      </c>
      <c r="D1496" s="567">
        <v>4001</v>
      </c>
      <c r="E1496" s="567">
        <v>70</v>
      </c>
      <c r="F1496" s="567">
        <v>2</v>
      </c>
      <c r="G1496" s="567">
        <v>236</v>
      </c>
      <c r="H1496" s="567">
        <v>2150</v>
      </c>
      <c r="O1496"/>
    </row>
    <row r="1497" spans="1:15" x14ac:dyDescent="0.2">
      <c r="A1497" s="567">
        <v>1453</v>
      </c>
      <c r="B1497" s="568" t="s">
        <v>1571</v>
      </c>
      <c r="C1497" s="568" t="s">
        <v>1573</v>
      </c>
      <c r="D1497" s="567">
        <v>4000</v>
      </c>
      <c r="E1497" s="567">
        <v>70</v>
      </c>
      <c r="F1497" s="567">
        <v>2</v>
      </c>
      <c r="G1497" s="567">
        <v>236</v>
      </c>
      <c r="H1497" s="567">
        <v>2150</v>
      </c>
      <c r="O1497"/>
    </row>
    <row r="1498" spans="1:15" x14ac:dyDescent="0.2">
      <c r="A1498" s="567">
        <v>1456</v>
      </c>
      <c r="B1498" s="568" t="s">
        <v>1571</v>
      </c>
      <c r="C1498" s="568" t="s">
        <v>1596</v>
      </c>
      <c r="D1498" s="567">
        <v>4003</v>
      </c>
      <c r="E1498" s="567">
        <v>70</v>
      </c>
      <c r="F1498" s="567">
        <v>2</v>
      </c>
      <c r="G1498" s="567">
        <v>236</v>
      </c>
      <c r="H1498" s="567">
        <v>2150</v>
      </c>
      <c r="O1498"/>
    </row>
    <row r="1499" spans="1:15" x14ac:dyDescent="0.2">
      <c r="A1499" s="567">
        <v>1457</v>
      </c>
      <c r="B1499" s="568" t="s">
        <v>1571</v>
      </c>
      <c r="C1499" s="568" t="s">
        <v>126</v>
      </c>
      <c r="D1499" s="567">
        <v>4004</v>
      </c>
      <c r="E1499" s="567">
        <v>70</v>
      </c>
      <c r="F1499" s="567">
        <v>2</v>
      </c>
      <c r="G1499" s="567">
        <v>236</v>
      </c>
      <c r="H1499" s="567">
        <v>2150</v>
      </c>
      <c r="O1499"/>
    </row>
    <row r="1500" spans="1:15" x14ac:dyDescent="0.2">
      <c r="A1500" s="567">
        <v>1828</v>
      </c>
      <c r="B1500" s="568" t="s">
        <v>1827</v>
      </c>
      <c r="C1500" s="568" t="s">
        <v>1826</v>
      </c>
      <c r="D1500" s="567">
        <v>5073</v>
      </c>
      <c r="E1500" s="567">
        <v>20</v>
      </c>
      <c r="F1500" s="567">
        <v>3</v>
      </c>
      <c r="G1500" s="567">
        <v>316</v>
      </c>
      <c r="H1500" s="567">
        <v>3110</v>
      </c>
      <c r="O1500"/>
    </row>
    <row r="1501" spans="1:15" x14ac:dyDescent="0.2">
      <c r="A1501" s="567">
        <v>1825</v>
      </c>
      <c r="B1501" s="568" t="s">
        <v>1827</v>
      </c>
      <c r="C1501" s="568" t="s">
        <v>1827</v>
      </c>
      <c r="D1501" s="567">
        <v>5070</v>
      </c>
      <c r="E1501" s="567">
        <v>20</v>
      </c>
      <c r="F1501" s="567">
        <v>3</v>
      </c>
      <c r="G1501" s="567">
        <v>316</v>
      </c>
      <c r="H1501" s="567">
        <v>3110</v>
      </c>
      <c r="O1501"/>
    </row>
    <row r="1502" spans="1:15" x14ac:dyDescent="0.2">
      <c r="A1502" s="567">
        <v>1826</v>
      </c>
      <c r="B1502" s="568" t="s">
        <v>1827</v>
      </c>
      <c r="C1502" s="568" t="s">
        <v>1849</v>
      </c>
      <c r="D1502" s="567">
        <v>5071</v>
      </c>
      <c r="E1502" s="567">
        <v>20</v>
      </c>
      <c r="F1502" s="567">
        <v>3</v>
      </c>
      <c r="G1502" s="567">
        <v>316</v>
      </c>
      <c r="H1502" s="567">
        <v>3110</v>
      </c>
      <c r="O1502"/>
    </row>
    <row r="1503" spans="1:15" x14ac:dyDescent="0.2">
      <c r="A1503" s="567">
        <v>1827</v>
      </c>
      <c r="B1503" s="568" t="s">
        <v>1827</v>
      </c>
      <c r="C1503" s="568" t="s">
        <v>1850</v>
      </c>
      <c r="D1503" s="567">
        <v>5072</v>
      </c>
      <c r="E1503" s="567">
        <v>20</v>
      </c>
      <c r="F1503" s="567">
        <v>3</v>
      </c>
      <c r="G1503" s="567">
        <v>316</v>
      </c>
      <c r="H1503" s="567">
        <v>3110</v>
      </c>
      <c r="O1503"/>
    </row>
    <row r="1504" spans="1:15" x14ac:dyDescent="0.2">
      <c r="A1504" s="567">
        <v>651</v>
      </c>
      <c r="B1504" s="568" t="s">
        <v>188</v>
      </c>
      <c r="C1504" s="568" t="s">
        <v>187</v>
      </c>
      <c r="D1504" s="567">
        <v>1441</v>
      </c>
      <c r="E1504" s="567">
        <v>93</v>
      </c>
      <c r="F1504" s="567">
        <v>1</v>
      </c>
      <c r="G1504" s="567">
        <v>119</v>
      </c>
      <c r="H1504" s="567">
        <v>1110</v>
      </c>
      <c r="O1504"/>
    </row>
    <row r="1505" spans="1:15" x14ac:dyDescent="0.2">
      <c r="A1505" s="567">
        <v>650</v>
      </c>
      <c r="B1505" s="568" t="s">
        <v>188</v>
      </c>
      <c r="C1505" s="568" t="s">
        <v>189</v>
      </c>
      <c r="D1505" s="567">
        <v>1440</v>
      </c>
      <c r="E1505" s="567">
        <v>93</v>
      </c>
      <c r="F1505" s="567">
        <v>1</v>
      </c>
      <c r="G1505" s="567">
        <v>119</v>
      </c>
      <c r="H1505" s="567">
        <v>1110</v>
      </c>
      <c r="O1505"/>
    </row>
    <row r="1506" spans="1:15" x14ac:dyDescent="0.2">
      <c r="A1506" s="567">
        <v>1176</v>
      </c>
      <c r="B1506" s="568" t="s">
        <v>1388</v>
      </c>
      <c r="C1506" s="568" t="s">
        <v>1388</v>
      </c>
      <c r="D1506" s="567">
        <v>3095</v>
      </c>
      <c r="E1506" s="567">
        <v>37</v>
      </c>
      <c r="F1506" s="567">
        <v>3</v>
      </c>
      <c r="G1506" s="567">
        <v>226</v>
      </c>
      <c r="H1506" s="567">
        <v>2130</v>
      </c>
      <c r="O1506"/>
    </row>
    <row r="1507" spans="1:15" x14ac:dyDescent="0.2">
      <c r="A1507" s="567">
        <v>1435</v>
      </c>
      <c r="B1507" s="568" t="s">
        <v>1590</v>
      </c>
      <c r="C1507" s="568" t="s">
        <v>1590</v>
      </c>
      <c r="D1507" s="567">
        <v>3920</v>
      </c>
      <c r="E1507" s="567">
        <v>31</v>
      </c>
      <c r="F1507" s="567">
        <v>2</v>
      </c>
      <c r="G1507" s="567">
        <v>236</v>
      </c>
      <c r="H1507" s="567">
        <v>2150</v>
      </c>
      <c r="O1507"/>
    </row>
    <row r="1508" spans="1:15" x14ac:dyDescent="0.2">
      <c r="A1508" s="567">
        <v>1780</v>
      </c>
      <c r="B1508" s="568" t="s">
        <v>2177</v>
      </c>
      <c r="C1508" s="568" t="s">
        <v>2177</v>
      </c>
      <c r="D1508" s="567">
        <v>4885</v>
      </c>
      <c r="E1508" s="567">
        <v>59</v>
      </c>
      <c r="F1508" s="567">
        <v>3</v>
      </c>
      <c r="G1508" s="567">
        <v>317</v>
      </c>
      <c r="H1508" s="567">
        <v>3140</v>
      </c>
      <c r="O1508"/>
    </row>
    <row r="1509" spans="1:15" x14ac:dyDescent="0.2">
      <c r="A1509" s="567">
        <v>1781</v>
      </c>
      <c r="B1509" s="568" t="s">
        <v>2177</v>
      </c>
      <c r="C1509" s="568" t="s">
        <v>2178</v>
      </c>
      <c r="D1509" s="567">
        <v>4886</v>
      </c>
      <c r="E1509" s="567">
        <v>59</v>
      </c>
      <c r="F1509" s="567">
        <v>3</v>
      </c>
      <c r="G1509" s="567">
        <v>317</v>
      </c>
      <c r="H1509" s="567">
        <v>3140</v>
      </c>
      <c r="O1509"/>
    </row>
    <row r="1510" spans="1:15" x14ac:dyDescent="0.2">
      <c r="A1510" s="567">
        <v>394</v>
      </c>
      <c r="B1510" s="568" t="s">
        <v>555</v>
      </c>
      <c r="C1510" s="568" t="s">
        <v>555</v>
      </c>
      <c r="D1510" s="567">
        <v>715</v>
      </c>
      <c r="E1510" s="567">
        <v>49</v>
      </c>
      <c r="F1510" s="567">
        <v>2</v>
      </c>
      <c r="G1510" s="567">
        <v>125</v>
      </c>
      <c r="H1510" s="567">
        <v>1150</v>
      </c>
      <c r="O1510"/>
    </row>
    <row r="1511" spans="1:15" x14ac:dyDescent="0.2">
      <c r="A1511" s="567">
        <v>395</v>
      </c>
      <c r="B1511" s="568" t="s">
        <v>555</v>
      </c>
      <c r="C1511" s="568" t="s">
        <v>556</v>
      </c>
      <c r="D1511" s="567">
        <v>716</v>
      </c>
      <c r="E1511" s="567">
        <v>49</v>
      </c>
      <c r="F1511" s="567">
        <v>2</v>
      </c>
      <c r="G1511" s="567">
        <v>125</v>
      </c>
      <c r="H1511" s="567">
        <v>1150</v>
      </c>
      <c r="O1511"/>
    </row>
    <row r="1512" spans="1:15" x14ac:dyDescent="0.2">
      <c r="A1512" s="567">
        <v>396</v>
      </c>
      <c r="B1512" s="568" t="s">
        <v>555</v>
      </c>
      <c r="C1512" s="568" t="s">
        <v>557</v>
      </c>
      <c r="D1512" s="567">
        <v>717</v>
      </c>
      <c r="E1512" s="567">
        <v>49</v>
      </c>
      <c r="F1512" s="567">
        <v>2</v>
      </c>
      <c r="G1512" s="567">
        <v>125</v>
      </c>
      <c r="H1512" s="567">
        <v>1150</v>
      </c>
      <c r="O1512"/>
    </row>
    <row r="1513" spans="1:15" x14ac:dyDescent="0.2">
      <c r="A1513" s="567">
        <v>3080</v>
      </c>
      <c r="B1513" s="568" t="s">
        <v>2746</v>
      </c>
      <c r="C1513" s="568" t="s">
        <v>223</v>
      </c>
      <c r="D1513" s="567">
        <v>8900</v>
      </c>
      <c r="E1513" s="567">
        <v>65</v>
      </c>
      <c r="F1513" s="567">
        <v>12</v>
      </c>
      <c r="G1513" s="567">
        <v>426</v>
      </c>
      <c r="H1513" s="567">
        <v>4110</v>
      </c>
      <c r="O1513"/>
    </row>
    <row r="1514" spans="1:15" x14ac:dyDescent="0.2">
      <c r="A1514" s="567">
        <v>267</v>
      </c>
      <c r="B1514" s="568" t="s">
        <v>987</v>
      </c>
      <c r="C1514" s="568" t="s">
        <v>223</v>
      </c>
      <c r="D1514" s="567">
        <v>435</v>
      </c>
      <c r="E1514" s="567">
        <v>46</v>
      </c>
      <c r="F1514" s="567">
        <v>20</v>
      </c>
      <c r="G1514" s="567">
        <v>127</v>
      </c>
      <c r="H1514" s="567">
        <v>1200</v>
      </c>
      <c r="O1514"/>
    </row>
    <row r="1515" spans="1:15" x14ac:dyDescent="0.2">
      <c r="A1515" s="567">
        <v>268</v>
      </c>
      <c r="B1515" s="568" t="s">
        <v>987</v>
      </c>
      <c r="C1515" s="568" t="s">
        <v>999</v>
      </c>
      <c r="D1515" s="567">
        <v>436</v>
      </c>
      <c r="E1515" s="567">
        <v>46</v>
      </c>
      <c r="F1515" s="567">
        <v>20</v>
      </c>
      <c r="G1515" s="567">
        <v>127</v>
      </c>
      <c r="H1515" s="567">
        <v>1200</v>
      </c>
      <c r="O1515"/>
    </row>
    <row r="1516" spans="1:15" x14ac:dyDescent="0.2">
      <c r="A1516" s="567">
        <v>269</v>
      </c>
      <c r="B1516" s="568" t="s">
        <v>987</v>
      </c>
      <c r="C1516" s="568" t="s">
        <v>1000</v>
      </c>
      <c r="D1516" s="567">
        <v>437</v>
      </c>
      <c r="E1516" s="567">
        <v>46</v>
      </c>
      <c r="F1516" s="567">
        <v>20</v>
      </c>
      <c r="G1516" s="567">
        <v>127</v>
      </c>
      <c r="H1516" s="567">
        <v>1200</v>
      </c>
      <c r="O1516"/>
    </row>
    <row r="1517" spans="1:15" x14ac:dyDescent="0.2">
      <c r="A1517" s="567">
        <v>270</v>
      </c>
      <c r="B1517" s="568" t="s">
        <v>987</v>
      </c>
      <c r="C1517" s="568" t="s">
        <v>1030</v>
      </c>
      <c r="D1517" s="567">
        <v>438</v>
      </c>
      <c r="E1517" s="567">
        <v>46</v>
      </c>
      <c r="F1517" s="567">
        <v>20</v>
      </c>
      <c r="G1517" s="567">
        <v>127</v>
      </c>
      <c r="H1517" s="567">
        <v>1200</v>
      </c>
      <c r="O1517"/>
    </row>
    <row r="1518" spans="1:15" x14ac:dyDescent="0.2">
      <c r="A1518" s="567">
        <v>570</v>
      </c>
      <c r="B1518" s="568" t="s">
        <v>224</v>
      </c>
      <c r="C1518" s="568" t="s">
        <v>223</v>
      </c>
      <c r="D1518" s="567">
        <v>1225</v>
      </c>
      <c r="E1518" s="567">
        <v>38</v>
      </c>
      <c r="F1518" s="567">
        <v>2</v>
      </c>
      <c r="G1518" s="567">
        <v>119</v>
      </c>
      <c r="H1518" s="567">
        <v>1110</v>
      </c>
      <c r="O1518"/>
    </row>
    <row r="1519" spans="1:15" x14ac:dyDescent="0.2">
      <c r="A1519" s="567">
        <v>3084</v>
      </c>
      <c r="B1519" s="568" t="s">
        <v>2751</v>
      </c>
      <c r="C1519" s="568" t="s">
        <v>2750</v>
      </c>
      <c r="D1519" s="567">
        <v>8921</v>
      </c>
      <c r="E1519" s="567">
        <v>66</v>
      </c>
      <c r="F1519" s="567">
        <v>12</v>
      </c>
      <c r="G1519" s="567">
        <v>426</v>
      </c>
      <c r="H1519" s="567">
        <v>4110</v>
      </c>
      <c r="O1519"/>
    </row>
    <row r="1520" spans="1:15" x14ac:dyDescent="0.2">
      <c r="A1520" s="567">
        <v>3083</v>
      </c>
      <c r="B1520" s="568" t="s">
        <v>2751</v>
      </c>
      <c r="C1520" s="568" t="s">
        <v>1791</v>
      </c>
      <c r="D1520" s="567">
        <v>8920</v>
      </c>
      <c r="E1520" s="567">
        <v>66</v>
      </c>
      <c r="F1520" s="567">
        <v>12</v>
      </c>
      <c r="G1520" s="567">
        <v>426</v>
      </c>
      <c r="H1520" s="567">
        <v>4110</v>
      </c>
      <c r="O1520"/>
    </row>
    <row r="1521" spans="1:15" x14ac:dyDescent="0.2">
      <c r="A1521" s="567">
        <v>2583</v>
      </c>
      <c r="B1521" s="568" t="s">
        <v>2978</v>
      </c>
      <c r="C1521" s="568" t="s">
        <v>2978</v>
      </c>
      <c r="D1521" s="567">
        <v>7440</v>
      </c>
      <c r="E1521" s="567">
        <v>22</v>
      </c>
      <c r="F1521" s="567">
        <v>2</v>
      </c>
      <c r="G1521" s="567">
        <v>416</v>
      </c>
      <c r="H1521" s="567">
        <v>4140</v>
      </c>
      <c r="O1521"/>
    </row>
    <row r="1522" spans="1:15" x14ac:dyDescent="0.2">
      <c r="A1522" s="567">
        <v>491</v>
      </c>
      <c r="B1522" s="568" t="s">
        <v>768</v>
      </c>
      <c r="C1522" s="568" t="s">
        <v>138</v>
      </c>
      <c r="D1522" s="567">
        <v>970</v>
      </c>
      <c r="E1522" s="567">
        <v>40</v>
      </c>
      <c r="F1522" s="567">
        <v>1</v>
      </c>
      <c r="G1522" s="567">
        <v>118</v>
      </c>
      <c r="H1522" s="567">
        <v>1170</v>
      </c>
      <c r="O1522"/>
    </row>
    <row r="1523" spans="1:15" x14ac:dyDescent="0.2">
      <c r="A1523" s="567">
        <v>932</v>
      </c>
      <c r="B1523" s="568" t="s">
        <v>139</v>
      </c>
      <c r="C1523" s="568" t="s">
        <v>138</v>
      </c>
      <c r="D1523" s="567">
        <v>2415</v>
      </c>
      <c r="E1523" s="567">
        <v>37</v>
      </c>
      <c r="F1523" s="567">
        <v>13</v>
      </c>
      <c r="G1523" s="567">
        <v>136</v>
      </c>
      <c r="H1523" s="567">
        <v>1101</v>
      </c>
      <c r="O1523"/>
    </row>
    <row r="1524" spans="1:15" x14ac:dyDescent="0.2">
      <c r="A1524" s="567">
        <v>933</v>
      </c>
      <c r="B1524" s="568" t="s">
        <v>139</v>
      </c>
      <c r="C1524" s="568" t="s">
        <v>140</v>
      </c>
      <c r="D1524" s="567">
        <v>2416</v>
      </c>
      <c r="E1524" s="567">
        <v>37</v>
      </c>
      <c r="F1524" s="567">
        <v>13</v>
      </c>
      <c r="G1524" s="567">
        <v>136</v>
      </c>
      <c r="H1524" s="567">
        <v>1101</v>
      </c>
      <c r="O1524"/>
    </row>
    <row r="1525" spans="1:15" x14ac:dyDescent="0.2">
      <c r="A1525" s="567">
        <v>934</v>
      </c>
      <c r="B1525" s="568" t="s">
        <v>139</v>
      </c>
      <c r="C1525" s="568" t="s">
        <v>141</v>
      </c>
      <c r="D1525" s="567">
        <v>2417</v>
      </c>
      <c r="E1525" s="567">
        <v>37</v>
      </c>
      <c r="F1525" s="567">
        <v>13</v>
      </c>
      <c r="G1525" s="567">
        <v>136</v>
      </c>
      <c r="H1525" s="567">
        <v>1101</v>
      </c>
      <c r="O1525"/>
    </row>
    <row r="1526" spans="1:15" x14ac:dyDescent="0.2">
      <c r="A1526" s="567">
        <v>767</v>
      </c>
      <c r="B1526" s="568" t="s">
        <v>817</v>
      </c>
      <c r="C1526" s="568" t="s">
        <v>816</v>
      </c>
      <c r="D1526" s="567">
        <v>1813</v>
      </c>
      <c r="E1526" s="567">
        <v>33</v>
      </c>
      <c r="F1526" s="567">
        <v>2</v>
      </c>
      <c r="G1526" s="567">
        <v>116</v>
      </c>
      <c r="H1526" s="567">
        <v>1180</v>
      </c>
      <c r="O1526"/>
    </row>
    <row r="1527" spans="1:15" x14ac:dyDescent="0.2">
      <c r="A1527" s="567">
        <v>766</v>
      </c>
      <c r="B1527" s="568" t="s">
        <v>817</v>
      </c>
      <c r="C1527" s="568" t="s">
        <v>870</v>
      </c>
      <c r="D1527" s="567">
        <v>1812</v>
      </c>
      <c r="E1527" s="567">
        <v>33</v>
      </c>
      <c r="F1527" s="567">
        <v>2</v>
      </c>
      <c r="G1527" s="567">
        <v>116</v>
      </c>
      <c r="H1527" s="567">
        <v>1180</v>
      </c>
      <c r="O1527"/>
    </row>
    <row r="1528" spans="1:15" x14ac:dyDescent="0.2">
      <c r="A1528" s="567">
        <v>764</v>
      </c>
      <c r="B1528" s="568" t="s">
        <v>817</v>
      </c>
      <c r="C1528" s="568" t="s">
        <v>138</v>
      </c>
      <c r="D1528" s="567">
        <v>1810</v>
      </c>
      <c r="E1528" s="567">
        <v>33</v>
      </c>
      <c r="F1528" s="567">
        <v>2</v>
      </c>
      <c r="G1528" s="567">
        <v>116</v>
      </c>
      <c r="H1528" s="567">
        <v>1180</v>
      </c>
      <c r="O1528"/>
    </row>
    <row r="1529" spans="1:15" x14ac:dyDescent="0.2">
      <c r="A1529" s="567">
        <v>765</v>
      </c>
      <c r="B1529" s="568" t="s">
        <v>817</v>
      </c>
      <c r="C1529" s="568" t="s">
        <v>886</v>
      </c>
      <c r="D1529" s="567">
        <v>1811</v>
      </c>
      <c r="E1529" s="567">
        <v>33</v>
      </c>
      <c r="F1529" s="567">
        <v>2</v>
      </c>
      <c r="G1529" s="567">
        <v>116</v>
      </c>
      <c r="H1529" s="567">
        <v>1180</v>
      </c>
      <c r="O1529"/>
    </row>
    <row r="1530" spans="1:15" x14ac:dyDescent="0.2">
      <c r="A1530" s="567">
        <v>1923</v>
      </c>
      <c r="B1530" s="568" t="s">
        <v>1884</v>
      </c>
      <c r="C1530" s="568" t="s">
        <v>1883</v>
      </c>
      <c r="D1530" s="567">
        <v>5432</v>
      </c>
      <c r="E1530" s="567">
        <v>64</v>
      </c>
      <c r="F1530" s="567">
        <v>5</v>
      </c>
      <c r="G1530" s="567">
        <v>315</v>
      </c>
      <c r="H1530" s="567">
        <v>3120</v>
      </c>
      <c r="O1530"/>
    </row>
    <row r="1531" spans="1:15" x14ac:dyDescent="0.2">
      <c r="A1531" s="567">
        <v>1921</v>
      </c>
      <c r="B1531" s="568" t="s">
        <v>1884</v>
      </c>
      <c r="C1531" s="568" t="s">
        <v>1884</v>
      </c>
      <c r="D1531" s="567">
        <v>5430</v>
      </c>
      <c r="E1531" s="567">
        <v>64</v>
      </c>
      <c r="F1531" s="567">
        <v>5</v>
      </c>
      <c r="G1531" s="567">
        <v>315</v>
      </c>
      <c r="H1531" s="567">
        <v>3120</v>
      </c>
      <c r="O1531"/>
    </row>
    <row r="1532" spans="1:15" x14ac:dyDescent="0.2">
      <c r="A1532" s="567">
        <v>1922</v>
      </c>
      <c r="B1532" s="568" t="s">
        <v>1884</v>
      </c>
      <c r="C1532" s="568" t="s">
        <v>1979</v>
      </c>
      <c r="D1532" s="567">
        <v>5431</v>
      </c>
      <c r="E1532" s="567">
        <v>64</v>
      </c>
      <c r="F1532" s="567">
        <v>5</v>
      </c>
      <c r="G1532" s="567">
        <v>315</v>
      </c>
      <c r="H1532" s="567">
        <v>3120</v>
      </c>
      <c r="O1532"/>
    </row>
    <row r="1533" spans="1:15" x14ac:dyDescent="0.2">
      <c r="A1533" s="567">
        <v>3274</v>
      </c>
      <c r="B1533" s="568" t="s">
        <v>2812</v>
      </c>
      <c r="C1533" s="568" t="s">
        <v>1954</v>
      </c>
      <c r="D1533" s="567">
        <v>9492</v>
      </c>
      <c r="E1533" s="567">
        <v>52</v>
      </c>
      <c r="F1533" s="567">
        <v>10</v>
      </c>
      <c r="G1533" s="567">
        <v>436</v>
      </c>
      <c r="H1533" s="567">
        <v>4120</v>
      </c>
      <c r="O1533"/>
    </row>
    <row r="1534" spans="1:15" x14ac:dyDescent="0.2">
      <c r="A1534" s="567">
        <v>3272</v>
      </c>
      <c r="B1534" s="568" t="s">
        <v>2812</v>
      </c>
      <c r="C1534" s="568" t="s">
        <v>2812</v>
      </c>
      <c r="D1534" s="567">
        <v>9490</v>
      </c>
      <c r="E1534" s="567">
        <v>52</v>
      </c>
      <c r="F1534" s="567">
        <v>10</v>
      </c>
      <c r="G1534" s="567">
        <v>436</v>
      </c>
      <c r="H1534" s="567">
        <v>4120</v>
      </c>
      <c r="O1534"/>
    </row>
    <row r="1535" spans="1:15" x14ac:dyDescent="0.2">
      <c r="A1535" s="567">
        <v>3273</v>
      </c>
      <c r="B1535" s="568" t="s">
        <v>2812</v>
      </c>
      <c r="C1535" s="568" t="s">
        <v>2867</v>
      </c>
      <c r="D1535" s="567">
        <v>9491</v>
      </c>
      <c r="E1535" s="567">
        <v>52</v>
      </c>
      <c r="F1535" s="567">
        <v>10</v>
      </c>
      <c r="G1535" s="567">
        <v>436</v>
      </c>
      <c r="H1535" s="567">
        <v>4120</v>
      </c>
      <c r="O1535"/>
    </row>
    <row r="1536" spans="1:15" x14ac:dyDescent="0.2">
      <c r="A1536" s="567">
        <v>2418</v>
      </c>
      <c r="B1536" s="568" t="s">
        <v>2492</v>
      </c>
      <c r="C1536" s="568" t="s">
        <v>1848</v>
      </c>
      <c r="D1536" s="567">
        <v>6936</v>
      </c>
      <c r="E1536" s="567">
        <v>62</v>
      </c>
      <c r="F1536" s="567">
        <v>3</v>
      </c>
      <c r="G1536" s="567">
        <v>337</v>
      </c>
      <c r="H1536" s="567">
        <v>3180</v>
      </c>
      <c r="O1536"/>
    </row>
    <row r="1537" spans="1:15" x14ac:dyDescent="0.2">
      <c r="A1537" s="567">
        <v>2412</v>
      </c>
      <c r="B1537" s="568" t="s">
        <v>2492</v>
      </c>
      <c r="C1537" s="568" t="s">
        <v>1104</v>
      </c>
      <c r="D1537" s="567">
        <v>6930</v>
      </c>
      <c r="E1537" s="567">
        <v>62</v>
      </c>
      <c r="F1537" s="567">
        <v>3</v>
      </c>
      <c r="G1537" s="567">
        <v>337</v>
      </c>
      <c r="H1537" s="567">
        <v>3180</v>
      </c>
      <c r="O1537"/>
    </row>
    <row r="1538" spans="1:15" x14ac:dyDescent="0.2">
      <c r="A1538" s="567">
        <v>2413</v>
      </c>
      <c r="B1538" s="568" t="s">
        <v>2492</v>
      </c>
      <c r="C1538" s="568" t="s">
        <v>2494</v>
      </c>
      <c r="D1538" s="567">
        <v>6931</v>
      </c>
      <c r="E1538" s="567">
        <v>62</v>
      </c>
      <c r="F1538" s="567">
        <v>3</v>
      </c>
      <c r="G1538" s="567">
        <v>337</v>
      </c>
      <c r="H1538" s="567">
        <v>3180</v>
      </c>
      <c r="O1538"/>
    </row>
    <row r="1539" spans="1:15" x14ac:dyDescent="0.2">
      <c r="A1539" s="567">
        <v>2414</v>
      </c>
      <c r="B1539" s="568" t="s">
        <v>2492</v>
      </c>
      <c r="C1539" s="568" t="s">
        <v>2495</v>
      </c>
      <c r="D1539" s="567">
        <v>6932</v>
      </c>
      <c r="E1539" s="567">
        <v>62</v>
      </c>
      <c r="F1539" s="567">
        <v>3</v>
      </c>
      <c r="G1539" s="567">
        <v>337</v>
      </c>
      <c r="H1539" s="567">
        <v>3180</v>
      </c>
      <c r="O1539"/>
    </row>
    <row r="1540" spans="1:15" x14ac:dyDescent="0.2">
      <c r="A1540" s="567">
        <v>2415</v>
      </c>
      <c r="B1540" s="568" t="s">
        <v>2492</v>
      </c>
      <c r="C1540" s="568" t="s">
        <v>2496</v>
      </c>
      <c r="D1540" s="567">
        <v>6933</v>
      </c>
      <c r="E1540" s="567">
        <v>62</v>
      </c>
      <c r="F1540" s="567">
        <v>3</v>
      </c>
      <c r="G1540" s="567">
        <v>337</v>
      </c>
      <c r="H1540" s="567">
        <v>3180</v>
      </c>
      <c r="O1540"/>
    </row>
    <row r="1541" spans="1:15" x14ac:dyDescent="0.2">
      <c r="A1541" s="567">
        <v>2416</v>
      </c>
      <c r="B1541" s="568" t="s">
        <v>2492</v>
      </c>
      <c r="C1541" s="568" t="s">
        <v>124</v>
      </c>
      <c r="D1541" s="567">
        <v>6934</v>
      </c>
      <c r="E1541" s="567">
        <v>62</v>
      </c>
      <c r="F1541" s="567">
        <v>3</v>
      </c>
      <c r="G1541" s="567">
        <v>337</v>
      </c>
      <c r="H1541" s="567">
        <v>3180</v>
      </c>
      <c r="O1541"/>
    </row>
    <row r="1542" spans="1:15" x14ac:dyDescent="0.2">
      <c r="A1542" s="567">
        <v>2417</v>
      </c>
      <c r="B1542" s="568" t="s">
        <v>2492</v>
      </c>
      <c r="C1542" s="568" t="s">
        <v>2497</v>
      </c>
      <c r="D1542" s="567">
        <v>6935</v>
      </c>
      <c r="E1542" s="567">
        <v>62</v>
      </c>
      <c r="F1542" s="567">
        <v>3</v>
      </c>
      <c r="G1542" s="567">
        <v>337</v>
      </c>
      <c r="H1542" s="567">
        <v>3180</v>
      </c>
      <c r="O1542"/>
    </row>
    <row r="1543" spans="1:15" x14ac:dyDescent="0.2">
      <c r="A1543" s="567">
        <v>1415</v>
      </c>
      <c r="B1543" s="568" t="s">
        <v>1629</v>
      </c>
      <c r="C1543" s="568" t="s">
        <v>1628</v>
      </c>
      <c r="D1543" s="567">
        <v>3852</v>
      </c>
      <c r="E1543" s="567">
        <v>33</v>
      </c>
      <c r="F1543" s="567">
        <v>2</v>
      </c>
      <c r="G1543" s="567">
        <v>236</v>
      </c>
      <c r="H1543" s="567">
        <v>2150</v>
      </c>
      <c r="O1543"/>
    </row>
    <row r="1544" spans="1:15" x14ac:dyDescent="0.2">
      <c r="A1544" s="567">
        <v>1414</v>
      </c>
      <c r="B1544" s="568" t="s">
        <v>1629</v>
      </c>
      <c r="C1544" s="568" t="s">
        <v>1631</v>
      </c>
      <c r="D1544" s="567">
        <v>3851</v>
      </c>
      <c r="E1544" s="567">
        <v>33</v>
      </c>
      <c r="F1544" s="567">
        <v>2</v>
      </c>
      <c r="G1544" s="567">
        <v>236</v>
      </c>
      <c r="H1544" s="567">
        <v>2150</v>
      </c>
      <c r="O1544"/>
    </row>
    <row r="1545" spans="1:15" x14ac:dyDescent="0.2">
      <c r="A1545" s="567">
        <v>1413</v>
      </c>
      <c r="B1545" s="568" t="s">
        <v>1629</v>
      </c>
      <c r="C1545" s="568" t="s">
        <v>1629</v>
      </c>
      <c r="D1545" s="567">
        <v>3850</v>
      </c>
      <c r="E1545" s="567">
        <v>33</v>
      </c>
      <c r="F1545" s="567">
        <v>2</v>
      </c>
      <c r="G1545" s="567">
        <v>236</v>
      </c>
      <c r="H1545" s="567">
        <v>2150</v>
      </c>
      <c r="O1545"/>
    </row>
    <row r="1546" spans="1:15" x14ac:dyDescent="0.2">
      <c r="A1546" s="567">
        <v>800</v>
      </c>
      <c r="B1546" s="568" t="s">
        <v>837</v>
      </c>
      <c r="C1546" s="568" t="s">
        <v>837</v>
      </c>
      <c r="D1546" s="567">
        <v>1950</v>
      </c>
      <c r="E1546" s="567">
        <v>36</v>
      </c>
      <c r="F1546" s="567">
        <v>18</v>
      </c>
      <c r="G1546" s="567">
        <v>116</v>
      </c>
      <c r="H1546" s="567">
        <v>1180</v>
      </c>
      <c r="O1546"/>
    </row>
    <row r="1547" spans="1:15" x14ac:dyDescent="0.2">
      <c r="A1547" s="567">
        <v>2198</v>
      </c>
      <c r="B1547" s="568" t="s">
        <v>2453</v>
      </c>
      <c r="C1547" s="568" t="s">
        <v>2453</v>
      </c>
      <c r="D1547" s="567">
        <v>6340</v>
      </c>
      <c r="E1547" s="567">
        <v>30</v>
      </c>
      <c r="F1547" s="567">
        <v>15</v>
      </c>
      <c r="G1547" s="567">
        <v>327</v>
      </c>
      <c r="H1547" s="567">
        <v>3170</v>
      </c>
      <c r="O1547"/>
    </row>
    <row r="1548" spans="1:15" x14ac:dyDescent="0.2">
      <c r="A1548" s="567">
        <v>751</v>
      </c>
      <c r="B1548" s="568" t="s">
        <v>890</v>
      </c>
      <c r="C1548" s="568" t="s">
        <v>890</v>
      </c>
      <c r="D1548" s="567">
        <v>1765</v>
      </c>
      <c r="E1548" s="567">
        <v>35</v>
      </c>
      <c r="F1548" s="567">
        <v>2</v>
      </c>
      <c r="G1548" s="567">
        <v>116</v>
      </c>
      <c r="H1548" s="567">
        <v>1180</v>
      </c>
      <c r="O1548"/>
    </row>
    <row r="1549" spans="1:15" x14ac:dyDescent="0.2">
      <c r="A1549" s="567">
        <v>45</v>
      </c>
      <c r="B1549" s="568" t="s">
        <v>289</v>
      </c>
      <c r="C1549" s="568" t="s">
        <v>289</v>
      </c>
      <c r="D1549" s="567">
        <v>70</v>
      </c>
      <c r="E1549" s="567">
        <v>61</v>
      </c>
      <c r="F1549" s="567">
        <v>21</v>
      </c>
      <c r="G1549" s="567">
        <v>128</v>
      </c>
      <c r="H1549" s="567">
        <v>1121</v>
      </c>
      <c r="O1549"/>
    </row>
    <row r="1550" spans="1:15" x14ac:dyDescent="0.2">
      <c r="A1550" s="567">
        <v>46</v>
      </c>
      <c r="B1550" s="568" t="s">
        <v>289</v>
      </c>
      <c r="C1550" s="568" t="s">
        <v>290</v>
      </c>
      <c r="D1550" s="567">
        <v>71</v>
      </c>
      <c r="E1550" s="567">
        <v>61</v>
      </c>
      <c r="F1550" s="567">
        <v>21</v>
      </c>
      <c r="G1550" s="567">
        <v>128</v>
      </c>
      <c r="H1550" s="567">
        <v>1121</v>
      </c>
      <c r="O1550"/>
    </row>
    <row r="1551" spans="1:15" x14ac:dyDescent="0.2">
      <c r="A1551" s="567">
        <v>47</v>
      </c>
      <c r="B1551" s="568" t="s">
        <v>289</v>
      </c>
      <c r="C1551" s="568" t="s">
        <v>291</v>
      </c>
      <c r="D1551" s="567">
        <v>72</v>
      </c>
      <c r="E1551" s="567">
        <v>61</v>
      </c>
      <c r="F1551" s="567">
        <v>21</v>
      </c>
      <c r="G1551" s="567">
        <v>128</v>
      </c>
      <c r="H1551" s="567">
        <v>1121</v>
      </c>
      <c r="O1551"/>
    </row>
    <row r="1552" spans="1:15" x14ac:dyDescent="0.2">
      <c r="A1552" s="567">
        <v>48</v>
      </c>
      <c r="B1552" s="568" t="s">
        <v>289</v>
      </c>
      <c r="C1552" s="568" t="s">
        <v>292</v>
      </c>
      <c r="D1552" s="567">
        <v>73</v>
      </c>
      <c r="E1552" s="567">
        <v>61</v>
      </c>
      <c r="F1552" s="567">
        <v>21</v>
      </c>
      <c r="G1552" s="567">
        <v>128</v>
      </c>
      <c r="H1552" s="567">
        <v>1121</v>
      </c>
      <c r="O1552"/>
    </row>
    <row r="1553" spans="1:15" x14ac:dyDescent="0.2">
      <c r="A1553" s="567">
        <v>1437</v>
      </c>
      <c r="B1553" s="568" t="s">
        <v>1588</v>
      </c>
      <c r="C1553" s="568" t="s">
        <v>589</v>
      </c>
      <c r="D1553" s="567">
        <v>3926</v>
      </c>
      <c r="E1553" s="567">
        <v>76</v>
      </c>
      <c r="F1553" s="567">
        <v>2</v>
      </c>
      <c r="G1553" s="567">
        <v>236</v>
      </c>
      <c r="H1553" s="567">
        <v>2150</v>
      </c>
      <c r="O1553"/>
    </row>
    <row r="1554" spans="1:15" x14ac:dyDescent="0.2">
      <c r="A1554" s="567">
        <v>1436</v>
      </c>
      <c r="B1554" s="568" t="s">
        <v>1588</v>
      </c>
      <c r="C1554" s="568" t="s">
        <v>1589</v>
      </c>
      <c r="D1554" s="567">
        <v>3925</v>
      </c>
      <c r="E1554" s="567">
        <v>76</v>
      </c>
      <c r="F1554" s="567">
        <v>2</v>
      </c>
      <c r="G1554" s="567">
        <v>236</v>
      </c>
      <c r="H1554" s="567">
        <v>2150</v>
      </c>
      <c r="O1554"/>
    </row>
    <row r="1555" spans="1:15" x14ac:dyDescent="0.2">
      <c r="A1555" s="567">
        <v>986</v>
      </c>
      <c r="B1555" s="568" t="s">
        <v>478</v>
      </c>
      <c r="C1555" s="568" t="s">
        <v>477</v>
      </c>
      <c r="D1555" s="567">
        <v>2561</v>
      </c>
      <c r="E1555" s="567">
        <v>25</v>
      </c>
      <c r="F1555" s="567">
        <v>14</v>
      </c>
      <c r="G1555" s="567">
        <v>135</v>
      </c>
      <c r="H1555" s="567">
        <v>1140</v>
      </c>
      <c r="O1555"/>
    </row>
    <row r="1556" spans="1:15" x14ac:dyDescent="0.2">
      <c r="A1556" s="567">
        <v>988</v>
      </c>
      <c r="B1556" s="568" t="s">
        <v>478</v>
      </c>
      <c r="C1556" s="568" t="s">
        <v>511</v>
      </c>
      <c r="D1556" s="567">
        <v>2563</v>
      </c>
      <c r="E1556" s="567">
        <v>25</v>
      </c>
      <c r="F1556" s="567">
        <v>14</v>
      </c>
      <c r="G1556" s="567">
        <v>135</v>
      </c>
      <c r="H1556" s="567">
        <v>1140</v>
      </c>
      <c r="O1556"/>
    </row>
    <row r="1557" spans="1:15" x14ac:dyDescent="0.2">
      <c r="A1557" s="567">
        <v>987</v>
      </c>
      <c r="B1557" s="568" t="s">
        <v>478</v>
      </c>
      <c r="C1557" s="568" t="s">
        <v>512</v>
      </c>
      <c r="D1557" s="567">
        <v>2562</v>
      </c>
      <c r="E1557" s="567">
        <v>25</v>
      </c>
      <c r="F1557" s="567">
        <v>14</v>
      </c>
      <c r="G1557" s="567">
        <v>135</v>
      </c>
      <c r="H1557" s="567">
        <v>1140</v>
      </c>
      <c r="O1557"/>
    </row>
    <row r="1558" spans="1:15" x14ac:dyDescent="0.2">
      <c r="A1558" s="567">
        <v>985</v>
      </c>
      <c r="B1558" s="568" t="s">
        <v>478</v>
      </c>
      <c r="C1558" s="568" t="s">
        <v>478</v>
      </c>
      <c r="D1558" s="567">
        <v>2560</v>
      </c>
      <c r="E1558" s="567">
        <v>25</v>
      </c>
      <c r="F1558" s="567">
        <v>14</v>
      </c>
      <c r="G1558" s="567">
        <v>135</v>
      </c>
      <c r="H1558" s="567">
        <v>1140</v>
      </c>
      <c r="O1558"/>
    </row>
    <row r="1559" spans="1:15" x14ac:dyDescent="0.2">
      <c r="A1559" s="567">
        <v>3233</v>
      </c>
      <c r="B1559" s="568" t="s">
        <v>2847</v>
      </c>
      <c r="C1559" s="568" t="s">
        <v>2847</v>
      </c>
      <c r="D1559" s="567">
        <v>9340</v>
      </c>
      <c r="E1559" s="567">
        <v>53</v>
      </c>
      <c r="F1559" s="567">
        <v>11</v>
      </c>
      <c r="G1559" s="567">
        <v>436</v>
      </c>
      <c r="H1559" s="567">
        <v>4120</v>
      </c>
      <c r="O1559"/>
    </row>
    <row r="1560" spans="1:15" x14ac:dyDescent="0.2">
      <c r="A1560" s="567">
        <v>2097</v>
      </c>
      <c r="B1560" s="568" t="s">
        <v>1754</v>
      </c>
      <c r="C1560" s="568" t="s">
        <v>1753</v>
      </c>
      <c r="D1560" s="567">
        <v>6003</v>
      </c>
      <c r="E1560" s="567">
        <v>31</v>
      </c>
      <c r="F1560" s="567">
        <v>7</v>
      </c>
      <c r="G1560" s="567">
        <v>326</v>
      </c>
      <c r="H1560" s="567">
        <v>3100</v>
      </c>
      <c r="O1560"/>
    </row>
    <row r="1561" spans="1:15" x14ac:dyDescent="0.2">
      <c r="A1561" s="567">
        <v>2096</v>
      </c>
      <c r="B1561" s="568" t="s">
        <v>1754</v>
      </c>
      <c r="C1561" s="568" t="s">
        <v>499</v>
      </c>
      <c r="D1561" s="567">
        <v>6002</v>
      </c>
      <c r="E1561" s="567">
        <v>31</v>
      </c>
      <c r="F1561" s="567">
        <v>7</v>
      </c>
      <c r="G1561" s="567">
        <v>326</v>
      </c>
      <c r="H1561" s="567">
        <v>3100</v>
      </c>
      <c r="O1561"/>
    </row>
    <row r="1562" spans="1:15" x14ac:dyDescent="0.2">
      <c r="A1562" s="567">
        <v>2094</v>
      </c>
      <c r="B1562" s="568" t="s">
        <v>1754</v>
      </c>
      <c r="C1562" s="568" t="s">
        <v>1764</v>
      </c>
      <c r="D1562" s="567">
        <v>6000</v>
      </c>
      <c r="E1562" s="567">
        <v>31</v>
      </c>
      <c r="F1562" s="567">
        <v>7</v>
      </c>
      <c r="G1562" s="567">
        <v>326</v>
      </c>
      <c r="H1562" s="567">
        <v>3100</v>
      </c>
      <c r="O1562"/>
    </row>
    <row r="1563" spans="1:15" x14ac:dyDescent="0.2">
      <c r="A1563" s="567">
        <v>2098</v>
      </c>
      <c r="B1563" s="568" t="s">
        <v>1754</v>
      </c>
      <c r="C1563" s="568" t="s">
        <v>879</v>
      </c>
      <c r="D1563" s="567">
        <v>6004</v>
      </c>
      <c r="E1563" s="567">
        <v>31</v>
      </c>
      <c r="F1563" s="567">
        <v>7</v>
      </c>
      <c r="G1563" s="567">
        <v>326</v>
      </c>
      <c r="H1563" s="567">
        <v>3100</v>
      </c>
      <c r="O1563"/>
    </row>
    <row r="1564" spans="1:15" x14ac:dyDescent="0.2">
      <c r="A1564" s="567">
        <v>2099</v>
      </c>
      <c r="B1564" s="568" t="s">
        <v>1754</v>
      </c>
      <c r="C1564" s="568" t="s">
        <v>126</v>
      </c>
      <c r="D1564" s="567">
        <v>6005</v>
      </c>
      <c r="E1564" s="567">
        <v>31</v>
      </c>
      <c r="F1564" s="567">
        <v>7</v>
      </c>
      <c r="G1564" s="567">
        <v>326</v>
      </c>
      <c r="H1564" s="567">
        <v>3100</v>
      </c>
      <c r="O1564"/>
    </row>
    <row r="1565" spans="1:15" x14ac:dyDescent="0.2">
      <c r="A1565" s="567">
        <v>2095</v>
      </c>
      <c r="B1565" s="568" t="s">
        <v>1754</v>
      </c>
      <c r="C1565" s="568" t="s">
        <v>1769</v>
      </c>
      <c r="D1565" s="567">
        <v>6001</v>
      </c>
      <c r="E1565" s="567">
        <v>31</v>
      </c>
      <c r="F1565" s="567">
        <v>7</v>
      </c>
      <c r="G1565" s="567">
        <v>326</v>
      </c>
      <c r="H1565" s="567">
        <v>3100</v>
      </c>
      <c r="O1565"/>
    </row>
    <row r="1566" spans="1:15" x14ac:dyDescent="0.2">
      <c r="A1566" s="567">
        <v>2179</v>
      </c>
      <c r="B1566" s="568" t="s">
        <v>2452</v>
      </c>
      <c r="C1566" s="568" t="s">
        <v>2452</v>
      </c>
      <c r="D1566" s="567">
        <v>6240</v>
      </c>
      <c r="E1566" s="567">
        <v>29</v>
      </c>
      <c r="F1566" s="567">
        <v>15</v>
      </c>
      <c r="G1566" s="567">
        <v>327</v>
      </c>
      <c r="H1566" s="567">
        <v>3170</v>
      </c>
      <c r="O1566"/>
    </row>
    <row r="1567" spans="1:15" x14ac:dyDescent="0.2">
      <c r="A1567" s="567">
        <v>2313</v>
      </c>
      <c r="B1567" s="568" t="s">
        <v>2321</v>
      </c>
      <c r="C1567" s="568" t="s">
        <v>2321</v>
      </c>
      <c r="D1567" s="567">
        <v>6660</v>
      </c>
      <c r="E1567" s="567">
        <v>43</v>
      </c>
      <c r="F1567" s="567">
        <v>4</v>
      </c>
      <c r="G1567" s="567">
        <v>335</v>
      </c>
      <c r="H1567" s="567">
        <v>3151</v>
      </c>
      <c r="O1567"/>
    </row>
    <row r="1568" spans="1:15" x14ac:dyDescent="0.2">
      <c r="A1568" s="567">
        <v>2314</v>
      </c>
      <c r="B1568" s="568" t="s">
        <v>2321</v>
      </c>
      <c r="C1568" s="568" t="s">
        <v>488</v>
      </c>
      <c r="D1568" s="567">
        <v>6661</v>
      </c>
      <c r="E1568" s="567">
        <v>43</v>
      </c>
      <c r="F1568" s="567">
        <v>4</v>
      </c>
      <c r="G1568" s="567">
        <v>335</v>
      </c>
      <c r="H1568" s="567">
        <v>3151</v>
      </c>
      <c r="O1568"/>
    </row>
    <row r="1569" spans="1:15" x14ac:dyDescent="0.2">
      <c r="A1569" s="567">
        <v>2316</v>
      </c>
      <c r="B1569" s="568" t="s">
        <v>2321</v>
      </c>
      <c r="C1569" s="568" t="s">
        <v>2323</v>
      </c>
      <c r="D1569" s="567">
        <v>6663</v>
      </c>
      <c r="E1569" s="567">
        <v>43</v>
      </c>
      <c r="F1569" s="567">
        <v>4</v>
      </c>
      <c r="G1569" s="567">
        <v>335</v>
      </c>
      <c r="H1569" s="567">
        <v>3151</v>
      </c>
      <c r="O1569"/>
    </row>
    <row r="1570" spans="1:15" x14ac:dyDescent="0.2">
      <c r="A1570" s="567">
        <v>2315</v>
      </c>
      <c r="B1570" s="568" t="s">
        <v>2321</v>
      </c>
      <c r="C1570" s="568" t="s">
        <v>2332</v>
      </c>
      <c r="D1570" s="567">
        <v>6662</v>
      </c>
      <c r="E1570" s="567">
        <v>43</v>
      </c>
      <c r="F1570" s="567">
        <v>4</v>
      </c>
      <c r="G1570" s="567">
        <v>335</v>
      </c>
      <c r="H1570" s="567">
        <v>3151</v>
      </c>
      <c r="O1570"/>
    </row>
    <row r="1571" spans="1:15" x14ac:dyDescent="0.2">
      <c r="A1571" s="567">
        <v>615</v>
      </c>
      <c r="B1571" s="568" t="s">
        <v>159</v>
      </c>
      <c r="C1571" s="568" t="s">
        <v>158</v>
      </c>
      <c r="D1571" s="567">
        <v>1351</v>
      </c>
      <c r="E1571" s="567">
        <v>41</v>
      </c>
      <c r="F1571" s="567">
        <v>2</v>
      </c>
      <c r="G1571" s="567">
        <v>119</v>
      </c>
      <c r="H1571" s="567">
        <v>1110</v>
      </c>
      <c r="O1571"/>
    </row>
    <row r="1572" spans="1:15" x14ac:dyDescent="0.2">
      <c r="A1572" s="567">
        <v>614</v>
      </c>
      <c r="B1572" s="568" t="s">
        <v>159</v>
      </c>
      <c r="C1572" s="568" t="s">
        <v>159</v>
      </c>
      <c r="D1572" s="567">
        <v>1350</v>
      </c>
      <c r="E1572" s="567">
        <v>41</v>
      </c>
      <c r="F1572" s="567">
        <v>2</v>
      </c>
      <c r="G1572" s="567">
        <v>119</v>
      </c>
      <c r="H1572" s="567">
        <v>1110</v>
      </c>
      <c r="O1572"/>
    </row>
    <row r="1573" spans="1:15" x14ac:dyDescent="0.2">
      <c r="A1573" s="567">
        <v>549</v>
      </c>
      <c r="B1573" s="568" t="s">
        <v>750</v>
      </c>
      <c r="C1573" s="568" t="s">
        <v>749</v>
      </c>
      <c r="D1573" s="567">
        <v>1150</v>
      </c>
      <c r="E1573" s="567">
        <v>80</v>
      </c>
      <c r="F1573" s="567">
        <v>1</v>
      </c>
      <c r="G1573" s="567">
        <v>118</v>
      </c>
      <c r="H1573" s="567">
        <v>1170</v>
      </c>
      <c r="O1573"/>
    </row>
    <row r="1574" spans="1:15" x14ac:dyDescent="0.2">
      <c r="A1574" s="567">
        <v>550</v>
      </c>
      <c r="B1574" s="568" t="s">
        <v>750</v>
      </c>
      <c r="C1574" s="568" t="s">
        <v>806</v>
      </c>
      <c r="D1574" s="567">
        <v>1151</v>
      </c>
      <c r="E1574" s="567">
        <v>80</v>
      </c>
      <c r="F1574" s="567">
        <v>1</v>
      </c>
      <c r="G1574" s="567">
        <v>118</v>
      </c>
      <c r="H1574" s="567">
        <v>1170</v>
      </c>
      <c r="O1574"/>
    </row>
    <row r="1575" spans="1:15" x14ac:dyDescent="0.2">
      <c r="A1575" s="567">
        <v>545</v>
      </c>
      <c r="B1575" s="568" t="s">
        <v>764</v>
      </c>
      <c r="C1575" s="568" t="s">
        <v>764</v>
      </c>
      <c r="D1575" s="567">
        <v>1130</v>
      </c>
      <c r="E1575" s="567">
        <v>46</v>
      </c>
      <c r="F1575" s="567">
        <v>1</v>
      </c>
      <c r="G1575" s="567">
        <v>118</v>
      </c>
      <c r="H1575" s="567">
        <v>1170</v>
      </c>
      <c r="O1575"/>
    </row>
    <row r="1576" spans="1:15" x14ac:dyDescent="0.2">
      <c r="A1576" s="567">
        <v>1282</v>
      </c>
      <c r="B1576" s="568" t="s">
        <v>1263</v>
      </c>
      <c r="C1576" s="568" t="s">
        <v>1262</v>
      </c>
      <c r="D1576" s="567">
        <v>3464</v>
      </c>
      <c r="E1576" s="567">
        <v>97</v>
      </c>
      <c r="F1576" s="567">
        <v>2</v>
      </c>
      <c r="G1576" s="567">
        <v>215</v>
      </c>
      <c r="H1576" s="567">
        <v>2121</v>
      </c>
      <c r="O1576"/>
    </row>
    <row r="1577" spans="1:15" x14ac:dyDescent="0.2">
      <c r="A1577" s="567">
        <v>1278</v>
      </c>
      <c r="B1577" s="568" t="s">
        <v>1263</v>
      </c>
      <c r="C1577" s="568" t="s">
        <v>1265</v>
      </c>
      <c r="D1577" s="567">
        <v>3460</v>
      </c>
      <c r="E1577" s="567">
        <v>97</v>
      </c>
      <c r="F1577" s="567">
        <v>2</v>
      </c>
      <c r="G1577" s="567">
        <v>215</v>
      </c>
      <c r="H1577" s="567">
        <v>2121</v>
      </c>
      <c r="O1577"/>
    </row>
    <row r="1578" spans="1:15" x14ac:dyDescent="0.2">
      <c r="A1578" s="567">
        <v>1279</v>
      </c>
      <c r="B1578" s="568" t="s">
        <v>1263</v>
      </c>
      <c r="C1578" s="568" t="s">
        <v>1266</v>
      </c>
      <c r="D1578" s="567">
        <v>3461</v>
      </c>
      <c r="E1578" s="567">
        <v>97</v>
      </c>
      <c r="F1578" s="567">
        <v>2</v>
      </c>
      <c r="G1578" s="567">
        <v>215</v>
      </c>
      <c r="H1578" s="567">
        <v>2121</v>
      </c>
      <c r="O1578"/>
    </row>
    <row r="1579" spans="1:15" x14ac:dyDescent="0.2">
      <c r="A1579" s="567">
        <v>1280</v>
      </c>
      <c r="B1579" s="568" t="s">
        <v>1263</v>
      </c>
      <c r="C1579" s="568" t="s">
        <v>1267</v>
      </c>
      <c r="D1579" s="567">
        <v>3462</v>
      </c>
      <c r="E1579" s="567">
        <v>97</v>
      </c>
      <c r="F1579" s="567">
        <v>2</v>
      </c>
      <c r="G1579" s="567">
        <v>215</v>
      </c>
      <c r="H1579" s="567">
        <v>2121</v>
      </c>
      <c r="O1579"/>
    </row>
    <row r="1580" spans="1:15" x14ac:dyDescent="0.2">
      <c r="A1580" s="567">
        <v>1281</v>
      </c>
      <c r="B1580" s="568" t="s">
        <v>1263</v>
      </c>
      <c r="C1580" s="568" t="s">
        <v>1268</v>
      </c>
      <c r="D1580" s="567">
        <v>3463</v>
      </c>
      <c r="E1580" s="567">
        <v>97</v>
      </c>
      <c r="F1580" s="567">
        <v>2</v>
      </c>
      <c r="G1580" s="567">
        <v>215</v>
      </c>
      <c r="H1580" s="567">
        <v>2121</v>
      </c>
      <c r="O1580"/>
    </row>
    <row r="1581" spans="1:15" x14ac:dyDescent="0.2">
      <c r="A1581" s="567">
        <v>1285</v>
      </c>
      <c r="B1581" s="568" t="s">
        <v>1263</v>
      </c>
      <c r="C1581" s="568" t="s">
        <v>1269</v>
      </c>
      <c r="D1581" s="567">
        <v>3467</v>
      </c>
      <c r="E1581" s="567">
        <v>97</v>
      </c>
      <c r="F1581" s="567">
        <v>2</v>
      </c>
      <c r="G1581" s="567">
        <v>215</v>
      </c>
      <c r="H1581" s="567">
        <v>2121</v>
      </c>
      <c r="O1581"/>
    </row>
    <row r="1582" spans="1:15" x14ac:dyDescent="0.2">
      <c r="A1582" s="567">
        <v>1284</v>
      </c>
      <c r="B1582" s="568" t="s">
        <v>1263</v>
      </c>
      <c r="C1582" s="568" t="s">
        <v>1274</v>
      </c>
      <c r="D1582" s="567">
        <v>3466</v>
      </c>
      <c r="E1582" s="567">
        <v>97</v>
      </c>
      <c r="F1582" s="567">
        <v>2</v>
      </c>
      <c r="G1582" s="567">
        <v>215</v>
      </c>
      <c r="H1582" s="567">
        <v>2121</v>
      </c>
      <c r="O1582"/>
    </row>
    <row r="1583" spans="1:15" x14ac:dyDescent="0.2">
      <c r="A1583" s="567">
        <v>1283</v>
      </c>
      <c r="B1583" s="568" t="s">
        <v>1263</v>
      </c>
      <c r="C1583" s="568" t="s">
        <v>1275</v>
      </c>
      <c r="D1583" s="567">
        <v>3465</v>
      </c>
      <c r="E1583" s="567">
        <v>97</v>
      </c>
      <c r="F1583" s="567">
        <v>2</v>
      </c>
      <c r="G1583" s="567">
        <v>215</v>
      </c>
      <c r="H1583" s="567">
        <v>2121</v>
      </c>
      <c r="O1583"/>
    </row>
    <row r="1584" spans="1:15" x14ac:dyDescent="0.2">
      <c r="A1584" s="567">
        <v>1286</v>
      </c>
      <c r="B1584" s="568" t="s">
        <v>1263</v>
      </c>
      <c r="C1584" s="568" t="s">
        <v>1279</v>
      </c>
      <c r="D1584" s="567">
        <v>3468</v>
      </c>
      <c r="E1584" s="567">
        <v>97</v>
      </c>
      <c r="F1584" s="567">
        <v>2</v>
      </c>
      <c r="G1584" s="567">
        <v>215</v>
      </c>
      <c r="H1584" s="567">
        <v>2121</v>
      </c>
      <c r="O1584"/>
    </row>
    <row r="1585" spans="1:15" x14ac:dyDescent="0.2">
      <c r="A1585" s="567">
        <v>3136</v>
      </c>
      <c r="B1585" s="568" t="s">
        <v>3104</v>
      </c>
      <c r="C1585" s="568" t="s">
        <v>3103</v>
      </c>
      <c r="D1585" s="567">
        <v>9085</v>
      </c>
      <c r="E1585" s="567">
        <v>65</v>
      </c>
      <c r="F1585" s="567">
        <v>11</v>
      </c>
      <c r="G1585" s="567">
        <v>437</v>
      </c>
      <c r="H1585" s="567">
        <v>4151</v>
      </c>
      <c r="O1585"/>
    </row>
    <row r="1586" spans="1:15" x14ac:dyDescent="0.2">
      <c r="A1586" s="567">
        <v>3135</v>
      </c>
      <c r="B1586" s="568" t="s">
        <v>3104</v>
      </c>
      <c r="C1586" s="568" t="s">
        <v>72</v>
      </c>
      <c r="D1586" s="567">
        <v>9084</v>
      </c>
      <c r="E1586" s="567">
        <v>65</v>
      </c>
      <c r="F1586" s="567">
        <v>11</v>
      </c>
      <c r="G1586" s="567">
        <v>437</v>
      </c>
      <c r="H1586" s="567">
        <v>4151</v>
      </c>
      <c r="O1586"/>
    </row>
    <row r="1587" spans="1:15" x14ac:dyDescent="0.2">
      <c r="A1587" s="567">
        <v>3134</v>
      </c>
      <c r="B1587" s="568" t="s">
        <v>3104</v>
      </c>
      <c r="C1587" s="568" t="s">
        <v>3105</v>
      </c>
      <c r="D1587" s="567">
        <v>9083</v>
      </c>
      <c r="E1587" s="567">
        <v>65</v>
      </c>
      <c r="F1587" s="567">
        <v>11</v>
      </c>
      <c r="G1587" s="567">
        <v>437</v>
      </c>
      <c r="H1587" s="567">
        <v>4151</v>
      </c>
      <c r="O1587"/>
    </row>
    <row r="1588" spans="1:15" x14ac:dyDescent="0.2">
      <c r="A1588" s="567">
        <v>3133</v>
      </c>
      <c r="B1588" s="568" t="s">
        <v>3104</v>
      </c>
      <c r="C1588" s="568" t="s">
        <v>3106</v>
      </c>
      <c r="D1588" s="567">
        <v>9082</v>
      </c>
      <c r="E1588" s="567">
        <v>65</v>
      </c>
      <c r="F1588" s="567">
        <v>11</v>
      </c>
      <c r="G1588" s="567">
        <v>437</v>
      </c>
      <c r="H1588" s="567">
        <v>4151</v>
      </c>
      <c r="O1588"/>
    </row>
    <row r="1589" spans="1:15" x14ac:dyDescent="0.2">
      <c r="A1589" s="567">
        <v>3132</v>
      </c>
      <c r="B1589" s="568" t="s">
        <v>3104</v>
      </c>
      <c r="C1589" s="568" t="s">
        <v>3107</v>
      </c>
      <c r="D1589" s="567">
        <v>9081</v>
      </c>
      <c r="E1589" s="567">
        <v>65</v>
      </c>
      <c r="F1589" s="567">
        <v>11</v>
      </c>
      <c r="G1589" s="567">
        <v>437</v>
      </c>
      <c r="H1589" s="567">
        <v>4151</v>
      </c>
      <c r="O1589"/>
    </row>
    <row r="1590" spans="1:15" x14ac:dyDescent="0.2">
      <c r="A1590" s="567">
        <v>3131</v>
      </c>
      <c r="B1590" s="568" t="s">
        <v>3104</v>
      </c>
      <c r="C1590" s="568" t="s">
        <v>3104</v>
      </c>
      <c r="D1590" s="567">
        <v>9080</v>
      </c>
      <c r="E1590" s="567">
        <v>65</v>
      </c>
      <c r="F1590" s="567">
        <v>11</v>
      </c>
      <c r="G1590" s="567">
        <v>437</v>
      </c>
      <c r="H1590" s="567">
        <v>4151</v>
      </c>
      <c r="O1590"/>
    </row>
    <row r="1591" spans="1:15" x14ac:dyDescent="0.2">
      <c r="A1591" s="567">
        <v>149</v>
      </c>
      <c r="B1591" s="568" t="s">
        <v>908</v>
      </c>
      <c r="C1591" s="568" t="s">
        <v>907</v>
      </c>
      <c r="D1591" s="567">
        <v>228</v>
      </c>
      <c r="E1591" s="567">
        <v>45</v>
      </c>
      <c r="F1591" s="567">
        <v>21</v>
      </c>
      <c r="G1591" s="567">
        <v>126</v>
      </c>
      <c r="H1591" s="567">
        <v>1190</v>
      </c>
      <c r="O1591"/>
    </row>
    <row r="1592" spans="1:15" x14ac:dyDescent="0.2">
      <c r="A1592" s="567">
        <v>148</v>
      </c>
      <c r="B1592" s="568" t="s">
        <v>908</v>
      </c>
      <c r="C1592" s="568" t="s">
        <v>924</v>
      </c>
      <c r="D1592" s="567">
        <v>227</v>
      </c>
      <c r="E1592" s="567">
        <v>45</v>
      </c>
      <c r="F1592" s="567">
        <v>21</v>
      </c>
      <c r="G1592" s="567">
        <v>126</v>
      </c>
      <c r="H1592" s="567">
        <v>1190</v>
      </c>
      <c r="O1592"/>
    </row>
    <row r="1593" spans="1:15" x14ac:dyDescent="0.2">
      <c r="A1593" s="567">
        <v>141</v>
      </c>
      <c r="B1593" s="568" t="s">
        <v>908</v>
      </c>
      <c r="C1593" s="568" t="s">
        <v>908</v>
      </c>
      <c r="D1593" s="567">
        <v>220</v>
      </c>
      <c r="E1593" s="567">
        <v>45</v>
      </c>
      <c r="F1593" s="567">
        <v>21</v>
      </c>
      <c r="G1593" s="567">
        <v>126</v>
      </c>
      <c r="H1593" s="567">
        <v>1190</v>
      </c>
      <c r="O1593"/>
    </row>
    <row r="1594" spans="1:15" x14ac:dyDescent="0.2">
      <c r="A1594" s="567">
        <v>142</v>
      </c>
      <c r="B1594" s="568" t="s">
        <v>908</v>
      </c>
      <c r="C1594" s="568" t="s">
        <v>925</v>
      </c>
      <c r="D1594" s="567">
        <v>221</v>
      </c>
      <c r="E1594" s="567">
        <v>45</v>
      </c>
      <c r="F1594" s="567">
        <v>21</v>
      </c>
      <c r="G1594" s="567">
        <v>126</v>
      </c>
      <c r="H1594" s="567">
        <v>1190</v>
      </c>
      <c r="O1594"/>
    </row>
    <row r="1595" spans="1:15" x14ac:dyDescent="0.2">
      <c r="A1595" s="567">
        <v>143</v>
      </c>
      <c r="B1595" s="568" t="s">
        <v>908</v>
      </c>
      <c r="C1595" s="568" t="s">
        <v>926</v>
      </c>
      <c r="D1595" s="567">
        <v>222</v>
      </c>
      <c r="E1595" s="567">
        <v>45</v>
      </c>
      <c r="F1595" s="567">
        <v>21</v>
      </c>
      <c r="G1595" s="567">
        <v>126</v>
      </c>
      <c r="H1595" s="567">
        <v>1190</v>
      </c>
      <c r="O1595"/>
    </row>
    <row r="1596" spans="1:15" x14ac:dyDescent="0.2">
      <c r="A1596" s="567">
        <v>144</v>
      </c>
      <c r="B1596" s="568" t="s">
        <v>908</v>
      </c>
      <c r="C1596" s="568" t="s">
        <v>927</v>
      </c>
      <c r="D1596" s="567">
        <v>223</v>
      </c>
      <c r="E1596" s="567">
        <v>45</v>
      </c>
      <c r="F1596" s="567">
        <v>21</v>
      </c>
      <c r="G1596" s="567">
        <v>126</v>
      </c>
      <c r="H1596" s="567">
        <v>1190</v>
      </c>
      <c r="O1596"/>
    </row>
    <row r="1597" spans="1:15" x14ac:dyDescent="0.2">
      <c r="A1597" s="567">
        <v>145</v>
      </c>
      <c r="B1597" s="568" t="s">
        <v>908</v>
      </c>
      <c r="C1597" s="568" t="s">
        <v>928</v>
      </c>
      <c r="D1597" s="567">
        <v>224</v>
      </c>
      <c r="E1597" s="567">
        <v>45</v>
      </c>
      <c r="F1597" s="567">
        <v>21</v>
      </c>
      <c r="G1597" s="567">
        <v>126</v>
      </c>
      <c r="H1597" s="567">
        <v>1190</v>
      </c>
      <c r="O1597"/>
    </row>
    <row r="1598" spans="1:15" x14ac:dyDescent="0.2">
      <c r="A1598" s="567">
        <v>146</v>
      </c>
      <c r="B1598" s="568" t="s">
        <v>908</v>
      </c>
      <c r="C1598" s="568" t="s">
        <v>929</v>
      </c>
      <c r="D1598" s="567">
        <v>225</v>
      </c>
      <c r="E1598" s="567">
        <v>45</v>
      </c>
      <c r="F1598" s="567">
        <v>21</v>
      </c>
      <c r="G1598" s="567">
        <v>126</v>
      </c>
      <c r="H1598" s="567">
        <v>1190</v>
      </c>
      <c r="O1598"/>
    </row>
    <row r="1599" spans="1:15" x14ac:dyDescent="0.2">
      <c r="A1599" s="567">
        <v>147</v>
      </c>
      <c r="B1599" s="568" t="s">
        <v>908</v>
      </c>
      <c r="C1599" s="568" t="s">
        <v>930</v>
      </c>
      <c r="D1599" s="567">
        <v>226</v>
      </c>
      <c r="E1599" s="567">
        <v>45</v>
      </c>
      <c r="F1599" s="567">
        <v>21</v>
      </c>
      <c r="G1599" s="567">
        <v>126</v>
      </c>
      <c r="H1599" s="567">
        <v>1190</v>
      </c>
      <c r="O1599"/>
    </row>
    <row r="1600" spans="1:15" x14ac:dyDescent="0.2">
      <c r="A1600" s="567">
        <v>306</v>
      </c>
      <c r="B1600" s="568" t="s">
        <v>1003</v>
      </c>
      <c r="C1600" s="568" t="s">
        <v>1002</v>
      </c>
      <c r="D1600" s="567">
        <v>510</v>
      </c>
      <c r="E1600" s="567">
        <v>101</v>
      </c>
      <c r="F1600" s="567">
        <v>19</v>
      </c>
      <c r="G1600" s="567">
        <v>127</v>
      </c>
      <c r="H1600" s="567">
        <v>1200</v>
      </c>
      <c r="O1600"/>
    </row>
    <row r="1601" spans="1:15" x14ac:dyDescent="0.2">
      <c r="A1601" s="567">
        <v>307</v>
      </c>
      <c r="B1601" s="568" t="s">
        <v>1003</v>
      </c>
      <c r="C1601" s="568" t="s">
        <v>1004</v>
      </c>
      <c r="D1601" s="567">
        <v>511</v>
      </c>
      <c r="E1601" s="567">
        <v>101</v>
      </c>
      <c r="F1601" s="567">
        <v>19</v>
      </c>
      <c r="G1601" s="567">
        <v>127</v>
      </c>
      <c r="H1601" s="567">
        <v>1200</v>
      </c>
      <c r="O1601"/>
    </row>
    <row r="1602" spans="1:15" x14ac:dyDescent="0.2">
      <c r="A1602" s="567">
        <v>308</v>
      </c>
      <c r="B1602" s="568" t="s">
        <v>1003</v>
      </c>
      <c r="C1602" s="568" t="s">
        <v>1005</v>
      </c>
      <c r="D1602" s="567">
        <v>512</v>
      </c>
      <c r="E1602" s="567">
        <v>101</v>
      </c>
      <c r="F1602" s="567">
        <v>19</v>
      </c>
      <c r="G1602" s="567">
        <v>127</v>
      </c>
      <c r="H1602" s="567">
        <v>1200</v>
      </c>
      <c r="O1602"/>
    </row>
    <row r="1603" spans="1:15" x14ac:dyDescent="0.2">
      <c r="A1603" s="567">
        <v>309</v>
      </c>
      <c r="B1603" s="568" t="s">
        <v>1003</v>
      </c>
      <c r="C1603" s="568" t="s">
        <v>1016</v>
      </c>
      <c r="D1603" s="567">
        <v>513</v>
      </c>
      <c r="E1603" s="567">
        <v>101</v>
      </c>
      <c r="F1603" s="567">
        <v>19</v>
      </c>
      <c r="G1603" s="567">
        <v>127</v>
      </c>
      <c r="H1603" s="567">
        <v>1200</v>
      </c>
      <c r="O1603"/>
    </row>
    <row r="1604" spans="1:15" x14ac:dyDescent="0.2">
      <c r="A1604" s="567">
        <v>3386</v>
      </c>
      <c r="B1604" s="568" t="s">
        <v>3135</v>
      </c>
      <c r="C1604" s="568" t="s">
        <v>3134</v>
      </c>
      <c r="D1604" s="567">
        <v>9960</v>
      </c>
      <c r="E1604" s="567">
        <v>29</v>
      </c>
      <c r="F1604" s="567">
        <v>9</v>
      </c>
      <c r="G1604" s="567">
        <v>435</v>
      </c>
      <c r="H1604" s="567">
        <v>4160</v>
      </c>
      <c r="O1604"/>
    </row>
    <row r="1605" spans="1:15" x14ac:dyDescent="0.2">
      <c r="A1605" s="567">
        <v>1245</v>
      </c>
      <c r="B1605" s="568" t="s">
        <v>1290</v>
      </c>
      <c r="C1605" s="568" t="s">
        <v>1290</v>
      </c>
      <c r="D1605" s="567">
        <v>3360</v>
      </c>
      <c r="E1605" s="567">
        <v>39</v>
      </c>
      <c r="F1605" s="567">
        <v>3</v>
      </c>
      <c r="G1605" s="567">
        <v>215</v>
      </c>
      <c r="H1605" s="567">
        <v>2121</v>
      </c>
      <c r="O1605"/>
    </row>
    <row r="1606" spans="1:15" x14ac:dyDescent="0.2">
      <c r="A1606" s="567">
        <v>853</v>
      </c>
      <c r="B1606" s="568" t="s">
        <v>427</v>
      </c>
      <c r="C1606" s="568" t="s">
        <v>427</v>
      </c>
      <c r="D1606" s="567">
        <v>2155</v>
      </c>
      <c r="E1606" s="567">
        <v>33</v>
      </c>
      <c r="F1606" s="567">
        <v>18</v>
      </c>
      <c r="G1606" s="567">
        <v>117</v>
      </c>
      <c r="H1606" s="567">
        <v>1130</v>
      </c>
      <c r="O1606"/>
    </row>
    <row r="1607" spans="1:15" x14ac:dyDescent="0.2">
      <c r="A1607" s="567">
        <v>26</v>
      </c>
      <c r="B1607" s="568" t="s">
        <v>282</v>
      </c>
      <c r="C1607" s="568" t="s">
        <v>281</v>
      </c>
      <c r="D1607" s="567">
        <v>34</v>
      </c>
      <c r="E1607" s="567">
        <v>64</v>
      </c>
      <c r="F1607" s="567">
        <v>21</v>
      </c>
      <c r="G1607" s="567">
        <v>128</v>
      </c>
      <c r="H1607" s="567">
        <v>1121</v>
      </c>
      <c r="O1607"/>
    </row>
    <row r="1608" spans="1:15" x14ac:dyDescent="0.2">
      <c r="A1608" s="567">
        <v>25</v>
      </c>
      <c r="B1608" s="568" t="s">
        <v>282</v>
      </c>
      <c r="C1608" s="568" t="s">
        <v>283</v>
      </c>
      <c r="D1608" s="567">
        <v>33</v>
      </c>
      <c r="E1608" s="567">
        <v>64</v>
      </c>
      <c r="F1608" s="567">
        <v>21</v>
      </c>
      <c r="G1608" s="567">
        <v>128</v>
      </c>
      <c r="H1608" s="567">
        <v>1121</v>
      </c>
      <c r="O1608"/>
    </row>
    <row r="1609" spans="1:15" x14ac:dyDescent="0.2">
      <c r="A1609" s="567">
        <v>27</v>
      </c>
      <c r="B1609" s="568" t="s">
        <v>282</v>
      </c>
      <c r="C1609" s="568" t="s">
        <v>306</v>
      </c>
      <c r="D1609" s="567">
        <v>35</v>
      </c>
      <c r="E1609" s="567">
        <v>64</v>
      </c>
      <c r="F1609" s="567">
        <v>21</v>
      </c>
      <c r="G1609" s="567">
        <v>128</v>
      </c>
      <c r="H1609" s="567">
        <v>1121</v>
      </c>
      <c r="O1609"/>
    </row>
    <row r="1610" spans="1:15" x14ac:dyDescent="0.2">
      <c r="A1610" s="567">
        <v>22</v>
      </c>
      <c r="B1610" s="568" t="s">
        <v>282</v>
      </c>
      <c r="C1610" s="568" t="s">
        <v>282</v>
      </c>
      <c r="D1610" s="567">
        <v>30</v>
      </c>
      <c r="E1610" s="567">
        <v>64</v>
      </c>
      <c r="F1610" s="567">
        <v>21</v>
      </c>
      <c r="G1610" s="567">
        <v>128</v>
      </c>
      <c r="H1610" s="567">
        <v>1121</v>
      </c>
      <c r="O1610"/>
    </row>
    <row r="1611" spans="1:15" x14ac:dyDescent="0.2">
      <c r="A1611" s="567">
        <v>23</v>
      </c>
      <c r="B1611" s="568" t="s">
        <v>282</v>
      </c>
      <c r="C1611" s="568" t="s">
        <v>317</v>
      </c>
      <c r="D1611" s="567">
        <v>31</v>
      </c>
      <c r="E1611" s="567">
        <v>64</v>
      </c>
      <c r="F1611" s="567">
        <v>21</v>
      </c>
      <c r="G1611" s="567">
        <v>128</v>
      </c>
      <c r="H1611" s="567">
        <v>1121</v>
      </c>
      <c r="O1611"/>
    </row>
    <row r="1612" spans="1:15" x14ac:dyDescent="0.2">
      <c r="A1612" s="567">
        <v>24</v>
      </c>
      <c r="B1612" s="568" t="s">
        <v>282</v>
      </c>
      <c r="C1612" s="568" t="s">
        <v>318</v>
      </c>
      <c r="D1612" s="567">
        <v>32</v>
      </c>
      <c r="E1612" s="567">
        <v>64</v>
      </c>
      <c r="F1612" s="567">
        <v>21</v>
      </c>
      <c r="G1612" s="567">
        <v>128</v>
      </c>
      <c r="H1612" s="567">
        <v>1121</v>
      </c>
      <c r="O1612"/>
    </row>
    <row r="1613" spans="1:15" x14ac:dyDescent="0.2">
      <c r="A1613" s="567">
        <v>185</v>
      </c>
      <c r="B1613" s="568" t="s">
        <v>914</v>
      </c>
      <c r="C1613" s="568" t="s">
        <v>913</v>
      </c>
      <c r="D1613" s="567">
        <v>287</v>
      </c>
      <c r="E1613" s="567">
        <v>46</v>
      </c>
      <c r="F1613" s="567">
        <v>20</v>
      </c>
      <c r="G1613" s="567">
        <v>126</v>
      </c>
      <c r="H1613" s="567">
        <v>1190</v>
      </c>
      <c r="O1613"/>
    </row>
    <row r="1614" spans="1:15" x14ac:dyDescent="0.2">
      <c r="A1614" s="567">
        <v>180</v>
      </c>
      <c r="B1614" s="568" t="s">
        <v>914</v>
      </c>
      <c r="C1614" s="568" t="s">
        <v>934</v>
      </c>
      <c r="D1614" s="567">
        <v>282</v>
      </c>
      <c r="E1614" s="567">
        <v>46</v>
      </c>
      <c r="F1614" s="567">
        <v>20</v>
      </c>
      <c r="G1614" s="567">
        <v>126</v>
      </c>
      <c r="H1614" s="567">
        <v>1190</v>
      </c>
      <c r="O1614"/>
    </row>
    <row r="1615" spans="1:15" x14ac:dyDescent="0.2">
      <c r="A1615" s="567">
        <v>179</v>
      </c>
      <c r="B1615" s="568" t="s">
        <v>914</v>
      </c>
      <c r="C1615" s="568" t="s">
        <v>935</v>
      </c>
      <c r="D1615" s="567">
        <v>281</v>
      </c>
      <c r="E1615" s="567">
        <v>46</v>
      </c>
      <c r="F1615" s="567">
        <v>20</v>
      </c>
      <c r="G1615" s="567">
        <v>126</v>
      </c>
      <c r="H1615" s="567">
        <v>1190</v>
      </c>
      <c r="O1615"/>
    </row>
    <row r="1616" spans="1:15" x14ac:dyDescent="0.2">
      <c r="A1616" s="567">
        <v>178</v>
      </c>
      <c r="B1616" s="568" t="s">
        <v>914</v>
      </c>
      <c r="C1616" s="568" t="s">
        <v>914</v>
      </c>
      <c r="D1616" s="567">
        <v>280</v>
      </c>
      <c r="E1616" s="567">
        <v>46</v>
      </c>
      <c r="F1616" s="567">
        <v>20</v>
      </c>
      <c r="G1616" s="567">
        <v>126</v>
      </c>
      <c r="H1616" s="567">
        <v>1190</v>
      </c>
      <c r="O1616"/>
    </row>
    <row r="1617" spans="1:15" x14ac:dyDescent="0.2">
      <c r="A1617" s="567">
        <v>182</v>
      </c>
      <c r="B1617" s="568" t="s">
        <v>914</v>
      </c>
      <c r="C1617" s="568" t="s">
        <v>939</v>
      </c>
      <c r="D1617" s="567">
        <v>284</v>
      </c>
      <c r="E1617" s="567">
        <v>46</v>
      </c>
      <c r="F1617" s="567">
        <v>20</v>
      </c>
      <c r="G1617" s="567">
        <v>126</v>
      </c>
      <c r="H1617" s="567">
        <v>1190</v>
      </c>
      <c r="O1617"/>
    </row>
    <row r="1618" spans="1:15" x14ac:dyDescent="0.2">
      <c r="A1618" s="567">
        <v>183</v>
      </c>
      <c r="B1618" s="568" t="s">
        <v>914</v>
      </c>
      <c r="C1618" s="568" t="s">
        <v>941</v>
      </c>
      <c r="D1618" s="567">
        <v>285</v>
      </c>
      <c r="E1618" s="567">
        <v>46</v>
      </c>
      <c r="F1618" s="567">
        <v>20</v>
      </c>
      <c r="G1618" s="567">
        <v>126</v>
      </c>
      <c r="H1618" s="567">
        <v>1190</v>
      </c>
      <c r="O1618"/>
    </row>
    <row r="1619" spans="1:15" x14ac:dyDescent="0.2">
      <c r="A1619" s="567">
        <v>181</v>
      </c>
      <c r="B1619" s="568" t="s">
        <v>914</v>
      </c>
      <c r="C1619" s="568" t="s">
        <v>959</v>
      </c>
      <c r="D1619" s="567">
        <v>283</v>
      </c>
      <c r="E1619" s="567">
        <v>46</v>
      </c>
      <c r="F1619" s="567">
        <v>20</v>
      </c>
      <c r="G1619" s="567">
        <v>126</v>
      </c>
      <c r="H1619" s="567">
        <v>1190</v>
      </c>
      <c r="O1619"/>
    </row>
    <row r="1620" spans="1:15" x14ac:dyDescent="0.2">
      <c r="A1620" s="567">
        <v>186</v>
      </c>
      <c r="B1620" s="568" t="s">
        <v>914</v>
      </c>
      <c r="C1620" s="568" t="s">
        <v>283</v>
      </c>
      <c r="D1620" s="567">
        <v>288</v>
      </c>
      <c r="E1620" s="567">
        <v>46</v>
      </c>
      <c r="F1620" s="567">
        <v>20</v>
      </c>
      <c r="G1620" s="567">
        <v>126</v>
      </c>
      <c r="H1620" s="567">
        <v>1190</v>
      </c>
      <c r="O1620"/>
    </row>
    <row r="1621" spans="1:15" x14ac:dyDescent="0.2">
      <c r="A1621" s="567">
        <v>184</v>
      </c>
      <c r="B1621" s="568" t="s">
        <v>914</v>
      </c>
      <c r="C1621" s="568" t="s">
        <v>966</v>
      </c>
      <c r="D1621" s="567">
        <v>286</v>
      </c>
      <c r="E1621" s="567">
        <v>46</v>
      </c>
      <c r="F1621" s="567">
        <v>20</v>
      </c>
      <c r="G1621" s="567">
        <v>126</v>
      </c>
      <c r="H1621" s="567">
        <v>1190</v>
      </c>
      <c r="O1621"/>
    </row>
    <row r="1622" spans="1:15" x14ac:dyDescent="0.2">
      <c r="A1622" s="567">
        <v>199</v>
      </c>
      <c r="B1622" s="568" t="s">
        <v>953</v>
      </c>
      <c r="C1622" s="568" t="s">
        <v>952</v>
      </c>
      <c r="D1622" s="567">
        <v>319</v>
      </c>
      <c r="E1622" s="567">
        <v>47</v>
      </c>
      <c r="F1622" s="567">
        <v>20</v>
      </c>
      <c r="G1622" s="567">
        <v>126</v>
      </c>
      <c r="H1622" s="567">
        <v>1190</v>
      </c>
      <c r="O1622"/>
    </row>
    <row r="1623" spans="1:15" x14ac:dyDescent="0.2">
      <c r="A1623" s="567">
        <v>200</v>
      </c>
      <c r="B1623" s="568" t="s">
        <v>953</v>
      </c>
      <c r="C1623" s="568" t="s">
        <v>954</v>
      </c>
      <c r="D1623" s="567">
        <v>320</v>
      </c>
      <c r="E1623" s="567">
        <v>47</v>
      </c>
      <c r="F1623" s="567">
        <v>20</v>
      </c>
      <c r="G1623" s="567">
        <v>126</v>
      </c>
      <c r="H1623" s="567">
        <v>1190</v>
      </c>
      <c r="O1623"/>
    </row>
    <row r="1624" spans="1:15" x14ac:dyDescent="0.2">
      <c r="A1624" s="567">
        <v>197</v>
      </c>
      <c r="B1624" s="568" t="s">
        <v>953</v>
      </c>
      <c r="C1624" s="568" t="s">
        <v>958</v>
      </c>
      <c r="D1624" s="567">
        <v>317</v>
      </c>
      <c r="E1624" s="567">
        <v>47</v>
      </c>
      <c r="F1624" s="567">
        <v>20</v>
      </c>
      <c r="G1624" s="567">
        <v>126</v>
      </c>
      <c r="H1624" s="567">
        <v>1190</v>
      </c>
      <c r="O1624"/>
    </row>
    <row r="1625" spans="1:15" x14ac:dyDescent="0.2">
      <c r="A1625" s="567">
        <v>195</v>
      </c>
      <c r="B1625" s="568" t="s">
        <v>953</v>
      </c>
      <c r="C1625" s="568" t="s">
        <v>953</v>
      </c>
      <c r="D1625" s="567">
        <v>315</v>
      </c>
      <c r="E1625" s="567">
        <v>47</v>
      </c>
      <c r="F1625" s="567">
        <v>20</v>
      </c>
      <c r="G1625" s="567">
        <v>126</v>
      </c>
      <c r="H1625" s="567">
        <v>1190</v>
      </c>
      <c r="O1625"/>
    </row>
    <row r="1626" spans="1:15" x14ac:dyDescent="0.2">
      <c r="A1626" s="567">
        <v>196</v>
      </c>
      <c r="B1626" s="568" t="s">
        <v>953</v>
      </c>
      <c r="C1626" s="568" t="s">
        <v>967</v>
      </c>
      <c r="D1626" s="567">
        <v>316</v>
      </c>
      <c r="E1626" s="567">
        <v>47</v>
      </c>
      <c r="F1626" s="567">
        <v>20</v>
      </c>
      <c r="G1626" s="567">
        <v>126</v>
      </c>
      <c r="H1626" s="567">
        <v>1190</v>
      </c>
      <c r="O1626"/>
    </row>
    <row r="1627" spans="1:15" x14ac:dyDescent="0.2">
      <c r="A1627" s="567">
        <v>198</v>
      </c>
      <c r="B1627" s="568" t="s">
        <v>953</v>
      </c>
      <c r="C1627" s="568" t="s">
        <v>970</v>
      </c>
      <c r="D1627" s="567">
        <v>318</v>
      </c>
      <c r="E1627" s="567">
        <v>47</v>
      </c>
      <c r="F1627" s="567">
        <v>20</v>
      </c>
      <c r="G1627" s="567">
        <v>126</v>
      </c>
      <c r="H1627" s="567">
        <v>1190</v>
      </c>
      <c r="O1627"/>
    </row>
    <row r="1628" spans="1:15" x14ac:dyDescent="0.2">
      <c r="A1628" s="567">
        <v>1355</v>
      </c>
      <c r="B1628" s="568" t="s">
        <v>1142</v>
      </c>
      <c r="C1628" s="568" t="s">
        <v>1142</v>
      </c>
      <c r="D1628" s="567">
        <v>3705</v>
      </c>
      <c r="E1628" s="567">
        <v>24</v>
      </c>
      <c r="F1628" s="567">
        <v>3</v>
      </c>
      <c r="G1628" s="567">
        <v>216</v>
      </c>
      <c r="H1628" s="567">
        <v>2100</v>
      </c>
      <c r="O1628"/>
    </row>
    <row r="1629" spans="1:15" x14ac:dyDescent="0.2">
      <c r="A1629" s="567">
        <v>1356</v>
      </c>
      <c r="B1629" s="568" t="s">
        <v>1142</v>
      </c>
      <c r="C1629" s="568" t="s">
        <v>924</v>
      </c>
      <c r="D1629" s="567">
        <v>3706</v>
      </c>
      <c r="E1629" s="567">
        <v>24</v>
      </c>
      <c r="F1629" s="567">
        <v>3</v>
      </c>
      <c r="G1629" s="567">
        <v>216</v>
      </c>
      <c r="H1629" s="567">
        <v>2100</v>
      </c>
      <c r="O1629"/>
    </row>
    <row r="1630" spans="1:15" x14ac:dyDescent="0.2">
      <c r="A1630" s="567">
        <v>1289</v>
      </c>
      <c r="B1630" s="568" t="s">
        <v>1333</v>
      </c>
      <c r="C1630" s="568" t="s">
        <v>1333</v>
      </c>
      <c r="D1630" s="567">
        <v>3485</v>
      </c>
      <c r="E1630" s="567">
        <v>40</v>
      </c>
      <c r="F1630" s="567">
        <v>2</v>
      </c>
      <c r="G1630" s="567">
        <v>215</v>
      </c>
      <c r="H1630" s="567">
        <v>2121</v>
      </c>
      <c r="O1630"/>
    </row>
    <row r="1631" spans="1:15" x14ac:dyDescent="0.2">
      <c r="A1631" s="567">
        <v>2430</v>
      </c>
      <c r="B1631" s="568" t="s">
        <v>2464</v>
      </c>
      <c r="C1631" s="568" t="s">
        <v>2463</v>
      </c>
      <c r="D1631" s="567">
        <v>6981</v>
      </c>
      <c r="E1631" s="567">
        <v>125</v>
      </c>
      <c r="F1631" s="567">
        <v>3</v>
      </c>
      <c r="G1631" s="567">
        <v>337</v>
      </c>
      <c r="H1631" s="567">
        <v>3180</v>
      </c>
      <c r="O1631"/>
    </row>
    <row r="1632" spans="1:15" x14ac:dyDescent="0.2">
      <c r="A1632" s="567">
        <v>2432</v>
      </c>
      <c r="B1632" s="568" t="s">
        <v>2464</v>
      </c>
      <c r="C1632" s="568" t="s">
        <v>2474</v>
      </c>
      <c r="D1632" s="567">
        <v>6983</v>
      </c>
      <c r="E1632" s="567">
        <v>125</v>
      </c>
      <c r="F1632" s="567">
        <v>3</v>
      </c>
      <c r="G1632" s="567">
        <v>337</v>
      </c>
      <c r="H1632" s="567">
        <v>3180</v>
      </c>
      <c r="O1632"/>
    </row>
    <row r="1633" spans="1:15" x14ac:dyDescent="0.2">
      <c r="A1633" s="567">
        <v>2429</v>
      </c>
      <c r="B1633" s="568" t="s">
        <v>2464</v>
      </c>
      <c r="C1633" s="568" t="s">
        <v>2475</v>
      </c>
      <c r="D1633" s="567">
        <v>6980</v>
      </c>
      <c r="E1633" s="567">
        <v>125</v>
      </c>
      <c r="F1633" s="567">
        <v>3</v>
      </c>
      <c r="G1633" s="567">
        <v>337</v>
      </c>
      <c r="H1633" s="567">
        <v>3180</v>
      </c>
      <c r="O1633"/>
    </row>
    <row r="1634" spans="1:15" x14ac:dyDescent="0.2">
      <c r="A1634" s="567">
        <v>2433</v>
      </c>
      <c r="B1634" s="568" t="s">
        <v>2464</v>
      </c>
      <c r="C1634" s="568" t="s">
        <v>2476</v>
      </c>
      <c r="D1634" s="567">
        <v>6984</v>
      </c>
      <c r="E1634" s="567">
        <v>125</v>
      </c>
      <c r="F1634" s="567">
        <v>3</v>
      </c>
      <c r="G1634" s="567">
        <v>337</v>
      </c>
      <c r="H1634" s="567">
        <v>3180</v>
      </c>
      <c r="O1634"/>
    </row>
    <row r="1635" spans="1:15" x14ac:dyDescent="0.2">
      <c r="A1635" s="567">
        <v>2431</v>
      </c>
      <c r="B1635" s="568" t="s">
        <v>2464</v>
      </c>
      <c r="C1635" s="568" t="s">
        <v>2477</v>
      </c>
      <c r="D1635" s="567">
        <v>6982</v>
      </c>
      <c r="E1635" s="567">
        <v>125</v>
      </c>
      <c r="F1635" s="567">
        <v>3</v>
      </c>
      <c r="G1635" s="567">
        <v>337</v>
      </c>
      <c r="H1635" s="567">
        <v>3180</v>
      </c>
      <c r="O1635"/>
    </row>
    <row r="1636" spans="1:15" x14ac:dyDescent="0.2">
      <c r="A1636" s="567">
        <v>2434</v>
      </c>
      <c r="B1636" s="568" t="s">
        <v>2464</v>
      </c>
      <c r="C1636" s="568" t="s">
        <v>2478</v>
      </c>
      <c r="D1636" s="567">
        <v>6985</v>
      </c>
      <c r="E1636" s="567">
        <v>125</v>
      </c>
      <c r="F1636" s="567">
        <v>3</v>
      </c>
      <c r="G1636" s="567">
        <v>337</v>
      </c>
      <c r="H1636" s="567">
        <v>3180</v>
      </c>
      <c r="O1636"/>
    </row>
    <row r="1637" spans="1:15" x14ac:dyDescent="0.2">
      <c r="A1637" s="567">
        <v>2595</v>
      </c>
      <c r="B1637" s="568" t="s">
        <v>2969</v>
      </c>
      <c r="C1637" s="568" t="s">
        <v>2969</v>
      </c>
      <c r="D1637" s="567">
        <v>7470</v>
      </c>
      <c r="E1637" s="567">
        <v>23</v>
      </c>
      <c r="F1637" s="567">
        <v>2</v>
      </c>
      <c r="G1637" s="567">
        <v>416</v>
      </c>
      <c r="H1637" s="567">
        <v>4140</v>
      </c>
      <c r="O1637"/>
    </row>
    <row r="1638" spans="1:15" x14ac:dyDescent="0.2">
      <c r="A1638" s="567">
        <v>2596</v>
      </c>
      <c r="B1638" s="568" t="s">
        <v>2969</v>
      </c>
      <c r="C1638" s="568" t="s">
        <v>2970</v>
      </c>
      <c r="D1638" s="567">
        <v>7471</v>
      </c>
      <c r="E1638" s="567">
        <v>23</v>
      </c>
      <c r="F1638" s="567">
        <v>2</v>
      </c>
      <c r="G1638" s="567">
        <v>416</v>
      </c>
      <c r="H1638" s="567">
        <v>4140</v>
      </c>
      <c r="O1638"/>
    </row>
    <row r="1639" spans="1:15" x14ac:dyDescent="0.2">
      <c r="A1639" s="567">
        <v>2597</v>
      </c>
      <c r="B1639" s="568" t="s">
        <v>2969</v>
      </c>
      <c r="C1639" s="568" t="s">
        <v>2971</v>
      </c>
      <c r="D1639" s="567">
        <v>7472</v>
      </c>
      <c r="E1639" s="567">
        <v>23</v>
      </c>
      <c r="F1639" s="567">
        <v>2</v>
      </c>
      <c r="G1639" s="567">
        <v>416</v>
      </c>
      <c r="H1639" s="567">
        <v>4140</v>
      </c>
      <c r="O1639"/>
    </row>
    <row r="1640" spans="1:15" x14ac:dyDescent="0.2">
      <c r="A1640" s="567">
        <v>2598</v>
      </c>
      <c r="B1640" s="568" t="s">
        <v>2969</v>
      </c>
      <c r="C1640" s="568" t="s">
        <v>2972</v>
      </c>
      <c r="D1640" s="567">
        <v>7473</v>
      </c>
      <c r="E1640" s="567">
        <v>23</v>
      </c>
      <c r="F1640" s="567">
        <v>2</v>
      </c>
      <c r="G1640" s="567">
        <v>416</v>
      </c>
      <c r="H1640" s="567">
        <v>4140</v>
      </c>
      <c r="O1640"/>
    </row>
    <row r="1641" spans="1:15" x14ac:dyDescent="0.2">
      <c r="A1641" s="567">
        <v>2599</v>
      </c>
      <c r="B1641" s="568" t="s">
        <v>2969</v>
      </c>
      <c r="C1641" s="568" t="s">
        <v>2977</v>
      </c>
      <c r="D1641" s="567">
        <v>7474</v>
      </c>
      <c r="E1641" s="567">
        <v>23</v>
      </c>
      <c r="F1641" s="567">
        <v>2</v>
      </c>
      <c r="G1641" s="567">
        <v>416</v>
      </c>
      <c r="H1641" s="567">
        <v>4140</v>
      </c>
      <c r="O1641"/>
    </row>
    <row r="1642" spans="1:15" x14ac:dyDescent="0.2">
      <c r="A1642" s="567">
        <v>1142</v>
      </c>
      <c r="B1642" s="568" t="s">
        <v>1369</v>
      </c>
      <c r="C1642" s="568" t="s">
        <v>1369</v>
      </c>
      <c r="D1642" s="567">
        <v>2975</v>
      </c>
      <c r="E1642" s="567">
        <v>38</v>
      </c>
      <c r="F1642" s="567">
        <v>1</v>
      </c>
      <c r="G1642" s="567">
        <v>226</v>
      </c>
      <c r="H1642" s="567">
        <v>2130</v>
      </c>
      <c r="O1642"/>
    </row>
    <row r="1643" spans="1:15" x14ac:dyDescent="0.2">
      <c r="A1643" s="567">
        <v>1772</v>
      </c>
      <c r="B1643" s="568" t="s">
        <v>2134</v>
      </c>
      <c r="C1643" s="568" t="s">
        <v>2133</v>
      </c>
      <c r="D1643" s="567">
        <v>4870</v>
      </c>
      <c r="E1643" s="567">
        <v>65</v>
      </c>
      <c r="F1643" s="567">
        <v>3</v>
      </c>
      <c r="G1643" s="567">
        <v>317</v>
      </c>
      <c r="H1643" s="567">
        <v>3140</v>
      </c>
      <c r="O1643"/>
    </row>
    <row r="1644" spans="1:15" x14ac:dyDescent="0.2">
      <c r="A1644" s="567">
        <v>1773</v>
      </c>
      <c r="B1644" s="568" t="s">
        <v>2134</v>
      </c>
      <c r="C1644" s="568" t="s">
        <v>2135</v>
      </c>
      <c r="D1644" s="567">
        <v>4871</v>
      </c>
      <c r="E1644" s="567">
        <v>65</v>
      </c>
      <c r="F1644" s="567">
        <v>3</v>
      </c>
      <c r="G1644" s="567">
        <v>317</v>
      </c>
      <c r="H1644" s="567">
        <v>3140</v>
      </c>
      <c r="O1644"/>
    </row>
    <row r="1645" spans="1:15" x14ac:dyDescent="0.2">
      <c r="A1645" s="567">
        <v>1774</v>
      </c>
      <c r="B1645" s="568" t="s">
        <v>2134</v>
      </c>
      <c r="C1645" s="568" t="s">
        <v>2136</v>
      </c>
      <c r="D1645" s="567">
        <v>4872</v>
      </c>
      <c r="E1645" s="567">
        <v>65</v>
      </c>
      <c r="F1645" s="567">
        <v>3</v>
      </c>
      <c r="G1645" s="567">
        <v>317</v>
      </c>
      <c r="H1645" s="567">
        <v>3140</v>
      </c>
      <c r="O1645"/>
    </row>
    <row r="1646" spans="1:15" x14ac:dyDescent="0.2">
      <c r="A1646" s="567">
        <v>1777</v>
      </c>
      <c r="B1646" s="568" t="s">
        <v>2134</v>
      </c>
      <c r="C1646" s="568" t="s">
        <v>2154</v>
      </c>
      <c r="D1646" s="567">
        <v>4875</v>
      </c>
      <c r="E1646" s="567">
        <v>65</v>
      </c>
      <c r="F1646" s="567">
        <v>3</v>
      </c>
      <c r="G1646" s="567">
        <v>317</v>
      </c>
      <c r="H1646" s="567">
        <v>3140</v>
      </c>
      <c r="O1646"/>
    </row>
    <row r="1647" spans="1:15" x14ac:dyDescent="0.2">
      <c r="A1647" s="567">
        <v>1775</v>
      </c>
      <c r="B1647" s="568" t="s">
        <v>2134</v>
      </c>
      <c r="C1647" s="568" t="s">
        <v>2157</v>
      </c>
      <c r="D1647" s="567">
        <v>4873</v>
      </c>
      <c r="E1647" s="567">
        <v>65</v>
      </c>
      <c r="F1647" s="567">
        <v>3</v>
      </c>
      <c r="G1647" s="567">
        <v>317</v>
      </c>
      <c r="H1647" s="567">
        <v>3140</v>
      </c>
      <c r="O1647"/>
    </row>
    <row r="1648" spans="1:15" x14ac:dyDescent="0.2">
      <c r="A1648" s="567">
        <v>1778</v>
      </c>
      <c r="B1648" s="568" t="s">
        <v>2134</v>
      </c>
      <c r="C1648" s="568" t="s">
        <v>2176</v>
      </c>
      <c r="D1648" s="567">
        <v>4876</v>
      </c>
      <c r="E1648" s="567">
        <v>65</v>
      </c>
      <c r="F1648" s="567">
        <v>3</v>
      </c>
      <c r="G1648" s="567">
        <v>317</v>
      </c>
      <c r="H1648" s="567">
        <v>3140</v>
      </c>
      <c r="O1648"/>
    </row>
    <row r="1649" spans="1:15" x14ac:dyDescent="0.2">
      <c r="A1649" s="567">
        <v>1779</v>
      </c>
      <c r="B1649" s="568" t="s">
        <v>2134</v>
      </c>
      <c r="C1649" s="568" t="s">
        <v>1698</v>
      </c>
      <c r="D1649" s="567">
        <v>4877</v>
      </c>
      <c r="E1649" s="567">
        <v>65</v>
      </c>
      <c r="F1649" s="567">
        <v>3</v>
      </c>
      <c r="G1649" s="567">
        <v>317</v>
      </c>
      <c r="H1649" s="567">
        <v>3140</v>
      </c>
      <c r="O1649"/>
    </row>
    <row r="1650" spans="1:15" x14ac:dyDescent="0.2">
      <c r="A1650" s="567">
        <v>1776</v>
      </c>
      <c r="B1650" s="568" t="s">
        <v>2134</v>
      </c>
      <c r="C1650" s="568" t="s">
        <v>2183</v>
      </c>
      <c r="D1650" s="567">
        <v>4874</v>
      </c>
      <c r="E1650" s="567">
        <v>65</v>
      </c>
      <c r="F1650" s="567">
        <v>3</v>
      </c>
      <c r="G1650" s="567">
        <v>317</v>
      </c>
      <c r="H1650" s="567">
        <v>3140</v>
      </c>
      <c r="O1650"/>
    </row>
    <row r="1651" spans="1:15" x14ac:dyDescent="0.2">
      <c r="A1651" s="567">
        <v>2863</v>
      </c>
      <c r="B1651" s="568" t="s">
        <v>3225</v>
      </c>
      <c r="C1651" s="568" t="s">
        <v>3225</v>
      </c>
      <c r="D1651" s="567">
        <v>8260</v>
      </c>
      <c r="E1651" s="567">
        <v>71</v>
      </c>
      <c r="F1651" s="567">
        <v>14</v>
      </c>
      <c r="G1651" s="567">
        <v>425</v>
      </c>
      <c r="H1651" s="567">
        <v>4170</v>
      </c>
      <c r="O1651"/>
    </row>
    <row r="1652" spans="1:15" x14ac:dyDescent="0.2">
      <c r="A1652" s="567">
        <v>2864</v>
      </c>
      <c r="B1652" s="568" t="s">
        <v>3225</v>
      </c>
      <c r="C1652" s="568" t="s">
        <v>3226</v>
      </c>
      <c r="D1652" s="567">
        <v>8261</v>
      </c>
      <c r="E1652" s="567">
        <v>71</v>
      </c>
      <c r="F1652" s="567">
        <v>14</v>
      </c>
      <c r="G1652" s="567">
        <v>425</v>
      </c>
      <c r="H1652" s="567">
        <v>4170</v>
      </c>
      <c r="O1652"/>
    </row>
    <row r="1653" spans="1:15" x14ac:dyDescent="0.2">
      <c r="A1653" s="567">
        <v>2865</v>
      </c>
      <c r="B1653" s="568" t="s">
        <v>3225</v>
      </c>
      <c r="C1653" s="568" t="s">
        <v>3227</v>
      </c>
      <c r="D1653" s="567">
        <v>8262</v>
      </c>
      <c r="E1653" s="567">
        <v>71</v>
      </c>
      <c r="F1653" s="567">
        <v>14</v>
      </c>
      <c r="G1653" s="567">
        <v>425</v>
      </c>
      <c r="H1653" s="567">
        <v>4170</v>
      </c>
      <c r="O1653"/>
    </row>
    <row r="1654" spans="1:15" x14ac:dyDescent="0.2">
      <c r="A1654" s="567">
        <v>2866</v>
      </c>
      <c r="B1654" s="568" t="s">
        <v>3225</v>
      </c>
      <c r="C1654" s="568" t="s">
        <v>3228</v>
      </c>
      <c r="D1654" s="567">
        <v>8263</v>
      </c>
      <c r="E1654" s="567">
        <v>71</v>
      </c>
      <c r="F1654" s="567">
        <v>14</v>
      </c>
      <c r="G1654" s="567">
        <v>425</v>
      </c>
      <c r="H1654" s="567">
        <v>4170</v>
      </c>
      <c r="O1654"/>
    </row>
    <row r="1655" spans="1:15" x14ac:dyDescent="0.2">
      <c r="A1655" s="567">
        <v>3385</v>
      </c>
      <c r="B1655" s="568" t="s">
        <v>3160</v>
      </c>
      <c r="C1655" s="568" t="s">
        <v>3160</v>
      </c>
      <c r="D1655" s="567">
        <v>9950</v>
      </c>
      <c r="E1655" s="567">
        <v>30</v>
      </c>
      <c r="F1655" s="567">
        <v>9</v>
      </c>
      <c r="G1655" s="567">
        <v>435</v>
      </c>
      <c r="H1655" s="567">
        <v>4160</v>
      </c>
      <c r="O1655"/>
    </row>
    <row r="1656" spans="1:15" x14ac:dyDescent="0.2">
      <c r="A1656" s="567">
        <v>2849</v>
      </c>
      <c r="B1656" s="568" t="s">
        <v>2031</v>
      </c>
      <c r="C1656" s="568" t="s">
        <v>3213</v>
      </c>
      <c r="D1656" s="567">
        <v>8211</v>
      </c>
      <c r="E1656" s="567">
        <v>72</v>
      </c>
      <c r="F1656" s="567">
        <v>13</v>
      </c>
      <c r="G1656" s="567">
        <v>425</v>
      </c>
      <c r="H1656" s="567">
        <v>4170</v>
      </c>
      <c r="O1656"/>
    </row>
    <row r="1657" spans="1:15" x14ac:dyDescent="0.2">
      <c r="A1657" s="567">
        <v>2850</v>
      </c>
      <c r="B1657" s="568" t="s">
        <v>2031</v>
      </c>
      <c r="C1657" s="568" t="s">
        <v>3214</v>
      </c>
      <c r="D1657" s="567">
        <v>8212</v>
      </c>
      <c r="E1657" s="567">
        <v>72</v>
      </c>
      <c r="F1657" s="567">
        <v>13</v>
      </c>
      <c r="G1657" s="567">
        <v>425</v>
      </c>
      <c r="H1657" s="567">
        <v>4170</v>
      </c>
      <c r="O1657"/>
    </row>
    <row r="1658" spans="1:15" x14ac:dyDescent="0.2">
      <c r="A1658" s="567">
        <v>2851</v>
      </c>
      <c r="B1658" s="568" t="s">
        <v>2031</v>
      </c>
      <c r="C1658" s="568" t="s">
        <v>3215</v>
      </c>
      <c r="D1658" s="567">
        <v>8213</v>
      </c>
      <c r="E1658" s="567">
        <v>72</v>
      </c>
      <c r="F1658" s="567">
        <v>13</v>
      </c>
      <c r="G1658" s="567">
        <v>425</v>
      </c>
      <c r="H1658" s="567">
        <v>4170</v>
      </c>
      <c r="O1658"/>
    </row>
    <row r="1659" spans="1:15" x14ac:dyDescent="0.2">
      <c r="A1659" s="567">
        <v>2848</v>
      </c>
      <c r="B1659" s="568" t="s">
        <v>2031</v>
      </c>
      <c r="C1659" s="568" t="s">
        <v>2031</v>
      </c>
      <c r="D1659" s="567">
        <v>8210</v>
      </c>
      <c r="E1659" s="567">
        <v>72</v>
      </c>
      <c r="F1659" s="567">
        <v>13</v>
      </c>
      <c r="G1659" s="567">
        <v>425</v>
      </c>
      <c r="H1659" s="567">
        <v>4170</v>
      </c>
      <c r="O1659"/>
    </row>
    <row r="1660" spans="1:15" x14ac:dyDescent="0.2">
      <c r="A1660" s="567">
        <v>376</v>
      </c>
      <c r="B1660" s="568" t="s">
        <v>549</v>
      </c>
      <c r="C1660" s="568" t="s">
        <v>548</v>
      </c>
      <c r="D1660" s="567">
        <v>671</v>
      </c>
      <c r="E1660" s="567">
        <v>113</v>
      </c>
      <c r="F1660" s="567">
        <v>1</v>
      </c>
      <c r="G1660" s="567">
        <v>125</v>
      </c>
      <c r="H1660" s="567">
        <v>1150</v>
      </c>
      <c r="O1660"/>
    </row>
    <row r="1661" spans="1:15" x14ac:dyDescent="0.2">
      <c r="A1661" s="567">
        <v>375</v>
      </c>
      <c r="B1661" s="568" t="s">
        <v>549</v>
      </c>
      <c r="C1661" s="568" t="s">
        <v>551</v>
      </c>
      <c r="D1661" s="567">
        <v>670</v>
      </c>
      <c r="E1661" s="567">
        <v>113</v>
      </c>
      <c r="F1661" s="567">
        <v>1</v>
      </c>
      <c r="G1661" s="567">
        <v>125</v>
      </c>
      <c r="H1661" s="567">
        <v>1150</v>
      </c>
      <c r="O1661"/>
    </row>
    <row r="1662" spans="1:15" x14ac:dyDescent="0.2">
      <c r="A1662" s="567">
        <v>254</v>
      </c>
      <c r="B1662" s="568" t="s">
        <v>1054</v>
      </c>
      <c r="C1662" s="568" t="s">
        <v>1053</v>
      </c>
      <c r="D1662" s="567">
        <v>411</v>
      </c>
      <c r="E1662" s="567">
        <v>47</v>
      </c>
      <c r="F1662" s="567">
        <v>20</v>
      </c>
      <c r="G1662" s="567">
        <v>127</v>
      </c>
      <c r="H1662" s="567">
        <v>1200</v>
      </c>
      <c r="O1662"/>
    </row>
    <row r="1663" spans="1:15" x14ac:dyDescent="0.2">
      <c r="A1663" s="567">
        <v>253</v>
      </c>
      <c r="B1663" s="568" t="s">
        <v>1054</v>
      </c>
      <c r="C1663" s="568" t="s">
        <v>1054</v>
      </c>
      <c r="D1663" s="567">
        <v>410</v>
      </c>
      <c r="E1663" s="567">
        <v>47</v>
      </c>
      <c r="F1663" s="567">
        <v>20</v>
      </c>
      <c r="G1663" s="567">
        <v>127</v>
      </c>
      <c r="H1663" s="567">
        <v>1200</v>
      </c>
      <c r="O1663"/>
    </row>
    <row r="1664" spans="1:15" x14ac:dyDescent="0.2">
      <c r="A1664" s="567">
        <v>3017</v>
      </c>
      <c r="B1664" s="568" t="s">
        <v>2685</v>
      </c>
      <c r="C1664" s="568" t="s">
        <v>2684</v>
      </c>
      <c r="D1664" s="567">
        <v>8671</v>
      </c>
      <c r="E1664" s="567">
        <v>67</v>
      </c>
      <c r="F1664" s="567">
        <v>14</v>
      </c>
      <c r="G1664" s="567">
        <v>426</v>
      </c>
      <c r="H1664" s="567">
        <v>4110</v>
      </c>
      <c r="O1664"/>
    </row>
    <row r="1665" spans="1:15" x14ac:dyDescent="0.2">
      <c r="A1665" s="567">
        <v>3023</v>
      </c>
      <c r="B1665" s="568" t="s">
        <v>2685</v>
      </c>
      <c r="C1665" s="568" t="s">
        <v>2710</v>
      </c>
      <c r="D1665" s="567">
        <v>8677</v>
      </c>
      <c r="E1665" s="567">
        <v>67</v>
      </c>
      <c r="F1665" s="567">
        <v>14</v>
      </c>
      <c r="G1665" s="567">
        <v>426</v>
      </c>
      <c r="H1665" s="567">
        <v>4110</v>
      </c>
      <c r="O1665"/>
    </row>
    <row r="1666" spans="1:15" x14ac:dyDescent="0.2">
      <c r="A1666" s="567">
        <v>3024</v>
      </c>
      <c r="B1666" s="568" t="s">
        <v>2685</v>
      </c>
      <c r="C1666" s="568" t="s">
        <v>2411</v>
      </c>
      <c r="D1666" s="567">
        <v>8678</v>
      </c>
      <c r="E1666" s="567">
        <v>67</v>
      </c>
      <c r="F1666" s="567">
        <v>14</v>
      </c>
      <c r="G1666" s="567">
        <v>426</v>
      </c>
      <c r="H1666" s="567">
        <v>4110</v>
      </c>
      <c r="O1666"/>
    </row>
    <row r="1667" spans="1:15" x14ac:dyDescent="0.2">
      <c r="A1667" s="567">
        <v>3021</v>
      </c>
      <c r="B1667" s="568" t="s">
        <v>2685</v>
      </c>
      <c r="C1667" s="568" t="s">
        <v>2712</v>
      </c>
      <c r="D1667" s="567">
        <v>8675</v>
      </c>
      <c r="E1667" s="567">
        <v>67</v>
      </c>
      <c r="F1667" s="567">
        <v>14</v>
      </c>
      <c r="G1667" s="567">
        <v>426</v>
      </c>
      <c r="H1667" s="567">
        <v>4110</v>
      </c>
      <c r="O1667"/>
    </row>
    <row r="1668" spans="1:15" x14ac:dyDescent="0.2">
      <c r="A1668" s="567">
        <v>3020</v>
      </c>
      <c r="B1668" s="568" t="s">
        <v>2685</v>
      </c>
      <c r="C1668" s="568" t="s">
        <v>2714</v>
      </c>
      <c r="D1668" s="567">
        <v>8674</v>
      </c>
      <c r="E1668" s="567">
        <v>67</v>
      </c>
      <c r="F1668" s="567">
        <v>14</v>
      </c>
      <c r="G1668" s="567">
        <v>426</v>
      </c>
      <c r="H1668" s="567">
        <v>4110</v>
      </c>
      <c r="O1668"/>
    </row>
    <row r="1669" spans="1:15" x14ac:dyDescent="0.2">
      <c r="A1669" s="567">
        <v>3022</v>
      </c>
      <c r="B1669" s="568" t="s">
        <v>2685</v>
      </c>
      <c r="C1669" s="568" t="s">
        <v>2349</v>
      </c>
      <c r="D1669" s="567">
        <v>8676</v>
      </c>
      <c r="E1669" s="567">
        <v>67</v>
      </c>
      <c r="F1669" s="567">
        <v>14</v>
      </c>
      <c r="G1669" s="567">
        <v>426</v>
      </c>
      <c r="H1669" s="567">
        <v>4110</v>
      </c>
      <c r="O1669"/>
    </row>
    <row r="1670" spans="1:15" x14ac:dyDescent="0.2">
      <c r="A1670" s="567">
        <v>3016</v>
      </c>
      <c r="B1670" s="568" t="s">
        <v>2685</v>
      </c>
      <c r="C1670" s="568" t="s">
        <v>2685</v>
      </c>
      <c r="D1670" s="567">
        <v>8670</v>
      </c>
      <c r="E1670" s="567">
        <v>67</v>
      </c>
      <c r="F1670" s="567">
        <v>14</v>
      </c>
      <c r="G1670" s="567">
        <v>426</v>
      </c>
      <c r="H1670" s="567">
        <v>4110</v>
      </c>
      <c r="O1670"/>
    </row>
    <row r="1671" spans="1:15" x14ac:dyDescent="0.2">
      <c r="A1671" s="567">
        <v>3018</v>
      </c>
      <c r="B1671" s="568" t="s">
        <v>2685</v>
      </c>
      <c r="C1671" s="568" t="s">
        <v>2732</v>
      </c>
      <c r="D1671" s="567">
        <v>8672</v>
      </c>
      <c r="E1671" s="567">
        <v>67</v>
      </c>
      <c r="F1671" s="567">
        <v>14</v>
      </c>
      <c r="G1671" s="567">
        <v>426</v>
      </c>
      <c r="H1671" s="567">
        <v>4110</v>
      </c>
      <c r="O1671"/>
    </row>
    <row r="1672" spans="1:15" x14ac:dyDescent="0.2">
      <c r="A1672" s="567">
        <v>3019</v>
      </c>
      <c r="B1672" s="568" t="s">
        <v>2685</v>
      </c>
      <c r="C1672" s="568" t="s">
        <v>2733</v>
      </c>
      <c r="D1672" s="567">
        <v>8673</v>
      </c>
      <c r="E1672" s="567">
        <v>67</v>
      </c>
      <c r="F1672" s="567">
        <v>14</v>
      </c>
      <c r="G1672" s="567">
        <v>426</v>
      </c>
      <c r="H1672" s="567">
        <v>4110</v>
      </c>
      <c r="O1672"/>
    </row>
    <row r="1673" spans="1:15" x14ac:dyDescent="0.2">
      <c r="A1673" s="567">
        <v>929</v>
      </c>
      <c r="B1673" s="568" t="s">
        <v>135</v>
      </c>
      <c r="C1673" s="568" t="s">
        <v>135</v>
      </c>
      <c r="D1673" s="567">
        <v>2405</v>
      </c>
      <c r="E1673" s="567">
        <v>38</v>
      </c>
      <c r="F1673" s="567">
        <v>14</v>
      </c>
      <c r="G1673" s="567">
        <v>136</v>
      </c>
      <c r="H1673" s="567">
        <v>1101</v>
      </c>
      <c r="O1673"/>
    </row>
    <row r="1674" spans="1:15" x14ac:dyDescent="0.2">
      <c r="A1674" s="567">
        <v>930</v>
      </c>
      <c r="B1674" s="568" t="s">
        <v>135</v>
      </c>
      <c r="C1674" s="568" t="s">
        <v>136</v>
      </c>
      <c r="D1674" s="567">
        <v>2406</v>
      </c>
      <c r="E1674" s="567">
        <v>38</v>
      </c>
      <c r="F1674" s="567">
        <v>14</v>
      </c>
      <c r="G1674" s="567">
        <v>136</v>
      </c>
      <c r="H1674" s="567">
        <v>1101</v>
      </c>
      <c r="O1674"/>
    </row>
    <row r="1675" spans="1:15" x14ac:dyDescent="0.2">
      <c r="A1675" s="567">
        <v>931</v>
      </c>
      <c r="B1675" s="568" t="s">
        <v>135</v>
      </c>
      <c r="C1675" s="568" t="s">
        <v>137</v>
      </c>
      <c r="D1675" s="567">
        <v>2407</v>
      </c>
      <c r="E1675" s="567">
        <v>38</v>
      </c>
      <c r="F1675" s="567">
        <v>14</v>
      </c>
      <c r="G1675" s="567">
        <v>136</v>
      </c>
      <c r="H1675" s="567">
        <v>1101</v>
      </c>
      <c r="O1675"/>
    </row>
    <row r="1676" spans="1:15" x14ac:dyDescent="0.2">
      <c r="A1676" s="567">
        <v>2405</v>
      </c>
      <c r="B1676" s="568" t="s">
        <v>2480</v>
      </c>
      <c r="C1676" s="568" t="s">
        <v>2479</v>
      </c>
      <c r="D1676" s="567">
        <v>6906</v>
      </c>
      <c r="E1676" s="567">
        <v>65</v>
      </c>
      <c r="F1676" s="567">
        <v>7</v>
      </c>
      <c r="G1676" s="567">
        <v>337</v>
      </c>
      <c r="H1676" s="567">
        <v>3180</v>
      </c>
      <c r="O1676"/>
    </row>
    <row r="1677" spans="1:15" x14ac:dyDescent="0.2">
      <c r="A1677" s="567">
        <v>2404</v>
      </c>
      <c r="B1677" s="568" t="s">
        <v>2480</v>
      </c>
      <c r="C1677" s="568" t="s">
        <v>2486</v>
      </c>
      <c r="D1677" s="567">
        <v>6905</v>
      </c>
      <c r="E1677" s="567">
        <v>65</v>
      </c>
      <c r="F1677" s="567">
        <v>7</v>
      </c>
      <c r="G1677" s="567">
        <v>337</v>
      </c>
      <c r="H1677" s="567">
        <v>3180</v>
      </c>
      <c r="O1677"/>
    </row>
    <row r="1678" spans="1:15" x14ac:dyDescent="0.2">
      <c r="A1678" s="567">
        <v>64</v>
      </c>
      <c r="B1678" s="568" t="s">
        <v>344</v>
      </c>
      <c r="C1678" s="568" t="s">
        <v>343</v>
      </c>
      <c r="D1678" s="567">
        <v>95</v>
      </c>
      <c r="E1678" s="567">
        <v>139</v>
      </c>
      <c r="F1678" s="567">
        <v>21</v>
      </c>
      <c r="G1678" s="567">
        <v>128</v>
      </c>
      <c r="H1678" s="567">
        <v>1121</v>
      </c>
      <c r="O1678"/>
    </row>
    <row r="1679" spans="1:15" x14ac:dyDescent="0.2">
      <c r="A1679" s="567">
        <v>59</v>
      </c>
      <c r="B1679" s="568" t="s">
        <v>344</v>
      </c>
      <c r="C1679" s="568" t="s">
        <v>353</v>
      </c>
      <c r="D1679" s="567">
        <v>90</v>
      </c>
      <c r="E1679" s="567">
        <v>139</v>
      </c>
      <c r="F1679" s="567">
        <v>21</v>
      </c>
      <c r="G1679" s="567">
        <v>128</v>
      </c>
      <c r="H1679" s="567">
        <v>1121</v>
      </c>
      <c r="O1679"/>
    </row>
    <row r="1680" spans="1:15" x14ac:dyDescent="0.2">
      <c r="A1680" s="567">
        <v>60</v>
      </c>
      <c r="B1680" s="568" t="s">
        <v>344</v>
      </c>
      <c r="C1680" s="568" t="s">
        <v>354</v>
      </c>
      <c r="D1680" s="567">
        <v>91</v>
      </c>
      <c r="E1680" s="567">
        <v>139</v>
      </c>
      <c r="F1680" s="567">
        <v>21</v>
      </c>
      <c r="G1680" s="567">
        <v>128</v>
      </c>
      <c r="H1680" s="567">
        <v>1121</v>
      </c>
      <c r="O1680"/>
    </row>
    <row r="1681" spans="1:15" x14ac:dyDescent="0.2">
      <c r="A1681" s="567">
        <v>61</v>
      </c>
      <c r="B1681" s="568" t="s">
        <v>344</v>
      </c>
      <c r="C1681" s="568" t="s">
        <v>355</v>
      </c>
      <c r="D1681" s="567">
        <v>92</v>
      </c>
      <c r="E1681" s="567">
        <v>139</v>
      </c>
      <c r="F1681" s="567">
        <v>21</v>
      </c>
      <c r="G1681" s="567">
        <v>128</v>
      </c>
      <c r="H1681" s="567">
        <v>1121</v>
      </c>
      <c r="O1681"/>
    </row>
    <row r="1682" spans="1:15" x14ac:dyDescent="0.2">
      <c r="A1682" s="567">
        <v>63</v>
      </c>
      <c r="B1682" s="568" t="s">
        <v>344</v>
      </c>
      <c r="C1682" s="568" t="s">
        <v>356</v>
      </c>
      <c r="D1682" s="567">
        <v>94</v>
      </c>
      <c r="E1682" s="567">
        <v>139</v>
      </c>
      <c r="F1682" s="567">
        <v>21</v>
      </c>
      <c r="G1682" s="567">
        <v>128</v>
      </c>
      <c r="H1682" s="567">
        <v>1121</v>
      </c>
      <c r="O1682"/>
    </row>
    <row r="1683" spans="1:15" x14ac:dyDescent="0.2">
      <c r="A1683" s="567">
        <v>65</v>
      </c>
      <c r="B1683" s="568" t="s">
        <v>344</v>
      </c>
      <c r="C1683" s="568" t="s">
        <v>358</v>
      </c>
      <c r="D1683" s="567">
        <v>96</v>
      </c>
      <c r="E1683" s="567">
        <v>139</v>
      </c>
      <c r="F1683" s="567">
        <v>21</v>
      </c>
      <c r="G1683" s="567">
        <v>128</v>
      </c>
      <c r="H1683" s="567">
        <v>1121</v>
      </c>
      <c r="O1683"/>
    </row>
    <row r="1684" spans="1:15" x14ac:dyDescent="0.2">
      <c r="A1684" s="567">
        <v>66</v>
      </c>
      <c r="B1684" s="568" t="s">
        <v>344</v>
      </c>
      <c r="C1684" s="568" t="s">
        <v>359</v>
      </c>
      <c r="D1684" s="567">
        <v>97</v>
      </c>
      <c r="E1684" s="567">
        <v>139</v>
      </c>
      <c r="F1684" s="567">
        <v>21</v>
      </c>
      <c r="G1684" s="567">
        <v>128</v>
      </c>
      <c r="H1684" s="567">
        <v>1121</v>
      </c>
      <c r="O1684"/>
    </row>
    <row r="1685" spans="1:15" x14ac:dyDescent="0.2">
      <c r="A1685" s="567">
        <v>67</v>
      </c>
      <c r="B1685" s="568" t="s">
        <v>344</v>
      </c>
      <c r="C1685" s="568" t="s">
        <v>360</v>
      </c>
      <c r="D1685" s="567">
        <v>98</v>
      </c>
      <c r="E1685" s="567">
        <v>139</v>
      </c>
      <c r="F1685" s="567">
        <v>21</v>
      </c>
      <c r="G1685" s="567">
        <v>128</v>
      </c>
      <c r="H1685" s="567">
        <v>1121</v>
      </c>
      <c r="O1685"/>
    </row>
    <row r="1686" spans="1:15" x14ac:dyDescent="0.2">
      <c r="A1686" s="567">
        <v>68</v>
      </c>
      <c r="B1686" s="568" t="s">
        <v>344</v>
      </c>
      <c r="C1686" s="568" t="s">
        <v>361</v>
      </c>
      <c r="D1686" s="567">
        <v>99</v>
      </c>
      <c r="E1686" s="567">
        <v>139</v>
      </c>
      <c r="F1686" s="567">
        <v>21</v>
      </c>
      <c r="G1686" s="567">
        <v>128</v>
      </c>
      <c r="H1686" s="567">
        <v>1121</v>
      </c>
      <c r="O1686"/>
    </row>
    <row r="1687" spans="1:15" x14ac:dyDescent="0.2">
      <c r="A1687" s="567">
        <v>69</v>
      </c>
      <c r="B1687" s="568" t="s">
        <v>344</v>
      </c>
      <c r="C1687" s="568" t="s">
        <v>362</v>
      </c>
      <c r="D1687" s="567">
        <v>100</v>
      </c>
      <c r="E1687" s="567">
        <v>139</v>
      </c>
      <c r="F1687" s="567">
        <v>21</v>
      </c>
      <c r="G1687" s="567">
        <v>128</v>
      </c>
      <c r="H1687" s="567">
        <v>1121</v>
      </c>
      <c r="O1687"/>
    </row>
    <row r="1688" spans="1:15" x14ac:dyDescent="0.2">
      <c r="A1688" s="567">
        <v>70</v>
      </c>
      <c r="B1688" s="568" t="s">
        <v>344</v>
      </c>
      <c r="C1688" s="568" t="s">
        <v>363</v>
      </c>
      <c r="D1688" s="567">
        <v>101</v>
      </c>
      <c r="E1688" s="567">
        <v>139</v>
      </c>
      <c r="F1688" s="567">
        <v>21</v>
      </c>
      <c r="G1688" s="567">
        <v>128</v>
      </c>
      <c r="H1688" s="567">
        <v>1121</v>
      </c>
      <c r="O1688"/>
    </row>
    <row r="1689" spans="1:15" x14ac:dyDescent="0.2">
      <c r="A1689" s="567">
        <v>62</v>
      </c>
      <c r="B1689" s="568" t="s">
        <v>344</v>
      </c>
      <c r="C1689" s="568" t="s">
        <v>368</v>
      </c>
      <c r="D1689" s="567">
        <v>93</v>
      </c>
      <c r="E1689" s="567">
        <v>139</v>
      </c>
      <c r="F1689" s="567">
        <v>21</v>
      </c>
      <c r="G1689" s="567">
        <v>128</v>
      </c>
      <c r="H1689" s="567">
        <v>1121</v>
      </c>
      <c r="O1689"/>
    </row>
    <row r="1690" spans="1:15" x14ac:dyDescent="0.2">
      <c r="A1690" s="567">
        <v>1129</v>
      </c>
      <c r="B1690" s="568" t="s">
        <v>393</v>
      </c>
      <c r="C1690" s="568" t="s">
        <v>393</v>
      </c>
      <c r="D1690" s="567">
        <v>2930</v>
      </c>
      <c r="E1690" s="567">
        <v>40</v>
      </c>
      <c r="F1690" s="567">
        <v>1</v>
      </c>
      <c r="G1690" s="567">
        <v>226</v>
      </c>
      <c r="H1690" s="567">
        <v>2130</v>
      </c>
      <c r="O1690"/>
    </row>
    <row r="1691" spans="1:15" x14ac:dyDescent="0.2">
      <c r="A1691" s="567">
        <v>1676</v>
      </c>
      <c r="B1691" s="568" t="s">
        <v>2199</v>
      </c>
      <c r="C1691" s="568" t="s">
        <v>2199</v>
      </c>
      <c r="D1691" s="567">
        <v>4590</v>
      </c>
      <c r="E1691" s="567">
        <v>68</v>
      </c>
      <c r="F1691" s="567">
        <v>5</v>
      </c>
      <c r="G1691" s="567">
        <v>317</v>
      </c>
      <c r="H1691" s="567">
        <v>3140</v>
      </c>
      <c r="O1691"/>
    </row>
    <row r="1692" spans="1:15" x14ac:dyDescent="0.2">
      <c r="A1692" s="567">
        <v>2468</v>
      </c>
      <c r="B1692" s="568" t="s">
        <v>2484</v>
      </c>
      <c r="C1692" s="568" t="s">
        <v>2483</v>
      </c>
      <c r="D1692" s="567">
        <v>7064</v>
      </c>
      <c r="E1692" s="567">
        <v>66</v>
      </c>
      <c r="F1692" s="567">
        <v>3</v>
      </c>
      <c r="G1692" s="567">
        <v>337</v>
      </c>
      <c r="H1692" s="567">
        <v>3180</v>
      </c>
      <c r="O1692"/>
    </row>
    <row r="1693" spans="1:15" x14ac:dyDescent="0.2">
      <c r="A1693" s="567">
        <v>2466</v>
      </c>
      <c r="B1693" s="568" t="s">
        <v>2484</v>
      </c>
      <c r="C1693" s="568" t="s">
        <v>2501</v>
      </c>
      <c r="D1693" s="567">
        <v>7062</v>
      </c>
      <c r="E1693" s="567">
        <v>66</v>
      </c>
      <c r="F1693" s="567">
        <v>3</v>
      </c>
      <c r="G1693" s="567">
        <v>337</v>
      </c>
      <c r="H1693" s="567">
        <v>3180</v>
      </c>
      <c r="O1693"/>
    </row>
    <row r="1694" spans="1:15" x14ac:dyDescent="0.2">
      <c r="A1694" s="567">
        <v>2464</v>
      </c>
      <c r="B1694" s="568" t="s">
        <v>2484</v>
      </c>
      <c r="C1694" s="568" t="s">
        <v>2511</v>
      </c>
      <c r="D1694" s="567">
        <v>7060</v>
      </c>
      <c r="E1694" s="567">
        <v>66</v>
      </c>
      <c r="F1694" s="567">
        <v>3</v>
      </c>
      <c r="G1694" s="567">
        <v>337</v>
      </c>
      <c r="H1694" s="567">
        <v>3180</v>
      </c>
      <c r="O1694"/>
    </row>
    <row r="1695" spans="1:15" x14ac:dyDescent="0.2">
      <c r="A1695" s="567">
        <v>2465</v>
      </c>
      <c r="B1695" s="568" t="s">
        <v>2484</v>
      </c>
      <c r="C1695" s="568" t="s">
        <v>2512</v>
      </c>
      <c r="D1695" s="567">
        <v>7061</v>
      </c>
      <c r="E1695" s="567">
        <v>66</v>
      </c>
      <c r="F1695" s="567">
        <v>3</v>
      </c>
      <c r="G1695" s="567">
        <v>337</v>
      </c>
      <c r="H1695" s="567">
        <v>3180</v>
      </c>
      <c r="O1695"/>
    </row>
    <row r="1696" spans="1:15" x14ac:dyDescent="0.2">
      <c r="A1696" s="567">
        <v>2467</v>
      </c>
      <c r="B1696" s="568" t="s">
        <v>2484</v>
      </c>
      <c r="C1696" s="568" t="s">
        <v>2513</v>
      </c>
      <c r="D1696" s="567">
        <v>7063</v>
      </c>
      <c r="E1696" s="567">
        <v>66</v>
      </c>
      <c r="F1696" s="567">
        <v>3</v>
      </c>
      <c r="G1696" s="567">
        <v>337</v>
      </c>
      <c r="H1696" s="567">
        <v>3180</v>
      </c>
      <c r="O1696"/>
    </row>
    <row r="1697" spans="1:15" x14ac:dyDescent="0.2">
      <c r="A1697" s="567">
        <v>2469</v>
      </c>
      <c r="B1697" s="568" t="s">
        <v>2484</v>
      </c>
      <c r="C1697" s="568" t="s">
        <v>2514</v>
      </c>
      <c r="D1697" s="567">
        <v>7065</v>
      </c>
      <c r="E1697" s="567">
        <v>66</v>
      </c>
      <c r="F1697" s="567">
        <v>3</v>
      </c>
      <c r="G1697" s="567">
        <v>337</v>
      </c>
      <c r="H1697" s="567">
        <v>3180</v>
      </c>
      <c r="O1697"/>
    </row>
    <row r="1698" spans="1:15" x14ac:dyDescent="0.2">
      <c r="A1698" s="567">
        <v>2470</v>
      </c>
      <c r="B1698" s="568" t="s">
        <v>2484</v>
      </c>
      <c r="C1698" s="568" t="s">
        <v>2515</v>
      </c>
      <c r="D1698" s="567">
        <v>7066</v>
      </c>
      <c r="E1698" s="567">
        <v>66</v>
      </c>
      <c r="F1698" s="567">
        <v>3</v>
      </c>
      <c r="G1698" s="567">
        <v>337</v>
      </c>
      <c r="H1698" s="567">
        <v>3180</v>
      </c>
      <c r="O1698"/>
    </row>
    <row r="1699" spans="1:15" x14ac:dyDescent="0.2">
      <c r="A1699" s="567">
        <v>452</v>
      </c>
      <c r="B1699" s="568" t="s">
        <v>612</v>
      </c>
      <c r="C1699" s="568" t="s">
        <v>611</v>
      </c>
      <c r="D1699" s="567">
        <v>865</v>
      </c>
      <c r="E1699" s="567">
        <v>56</v>
      </c>
      <c r="F1699" s="567">
        <v>1</v>
      </c>
      <c r="G1699" s="567">
        <v>125</v>
      </c>
      <c r="H1699" s="567">
        <v>1150</v>
      </c>
      <c r="O1699"/>
    </row>
    <row r="1700" spans="1:15" x14ac:dyDescent="0.2">
      <c r="A1700" s="567">
        <v>2976</v>
      </c>
      <c r="B1700" s="568" t="s">
        <v>2693</v>
      </c>
      <c r="C1700" s="568" t="s">
        <v>2692</v>
      </c>
      <c r="D1700" s="567">
        <v>8582</v>
      </c>
      <c r="E1700" s="567">
        <v>70</v>
      </c>
      <c r="F1700" s="567">
        <v>12</v>
      </c>
      <c r="G1700" s="567">
        <v>426</v>
      </c>
      <c r="H1700" s="567">
        <v>4110</v>
      </c>
      <c r="O1700"/>
    </row>
    <row r="1701" spans="1:15" x14ac:dyDescent="0.2">
      <c r="A1701" s="567">
        <v>2975</v>
      </c>
      <c r="B1701" s="568" t="s">
        <v>2693</v>
      </c>
      <c r="C1701" s="568" t="s">
        <v>2700</v>
      </c>
      <c r="D1701" s="567">
        <v>8581</v>
      </c>
      <c r="E1701" s="567">
        <v>70</v>
      </c>
      <c r="F1701" s="567">
        <v>12</v>
      </c>
      <c r="G1701" s="567">
        <v>426</v>
      </c>
      <c r="H1701" s="567">
        <v>4110</v>
      </c>
      <c r="O1701"/>
    </row>
    <row r="1702" spans="1:15" x14ac:dyDescent="0.2">
      <c r="A1702" s="567">
        <v>2977</v>
      </c>
      <c r="B1702" s="568" t="s">
        <v>2693</v>
      </c>
      <c r="C1702" s="568" t="s">
        <v>2702</v>
      </c>
      <c r="D1702" s="567">
        <v>8583</v>
      </c>
      <c r="E1702" s="567">
        <v>70</v>
      </c>
      <c r="F1702" s="567">
        <v>12</v>
      </c>
      <c r="G1702" s="567">
        <v>426</v>
      </c>
      <c r="H1702" s="567">
        <v>4110</v>
      </c>
      <c r="O1702"/>
    </row>
    <row r="1703" spans="1:15" x14ac:dyDescent="0.2">
      <c r="A1703" s="567">
        <v>2978</v>
      </c>
      <c r="B1703" s="568" t="s">
        <v>2693</v>
      </c>
      <c r="C1703" s="568" t="s">
        <v>2703</v>
      </c>
      <c r="D1703" s="567">
        <v>8584</v>
      </c>
      <c r="E1703" s="567">
        <v>70</v>
      </c>
      <c r="F1703" s="567">
        <v>12</v>
      </c>
      <c r="G1703" s="567">
        <v>426</v>
      </c>
      <c r="H1703" s="567">
        <v>4110</v>
      </c>
      <c r="O1703"/>
    </row>
    <row r="1704" spans="1:15" x14ac:dyDescent="0.2">
      <c r="A1704" s="567">
        <v>2974</v>
      </c>
      <c r="B1704" s="568" t="s">
        <v>2693</v>
      </c>
      <c r="C1704" s="568" t="s">
        <v>2693</v>
      </c>
      <c r="D1704" s="567">
        <v>8580</v>
      </c>
      <c r="E1704" s="567">
        <v>70</v>
      </c>
      <c r="F1704" s="567">
        <v>12</v>
      </c>
      <c r="G1704" s="567">
        <v>426</v>
      </c>
      <c r="H1704" s="567">
        <v>4110</v>
      </c>
      <c r="O1704"/>
    </row>
    <row r="1705" spans="1:15" x14ac:dyDescent="0.2">
      <c r="A1705" s="567">
        <v>1696</v>
      </c>
      <c r="B1705" s="568" t="s">
        <v>1007</v>
      </c>
      <c r="C1705" s="568" t="s">
        <v>1007</v>
      </c>
      <c r="D1705" s="567">
        <v>4650</v>
      </c>
      <c r="E1705" s="567">
        <v>67</v>
      </c>
      <c r="F1705" s="567">
        <v>5</v>
      </c>
      <c r="G1705" s="567">
        <v>317</v>
      </c>
      <c r="H1705" s="567">
        <v>3140</v>
      </c>
      <c r="O1705"/>
    </row>
    <row r="1706" spans="1:15" x14ac:dyDescent="0.2">
      <c r="A1706" s="567">
        <v>2940</v>
      </c>
      <c r="B1706" s="568" t="s">
        <v>3276</v>
      </c>
      <c r="C1706" s="568" t="s">
        <v>3276</v>
      </c>
      <c r="D1706" s="567">
        <v>8460</v>
      </c>
      <c r="E1706" s="567">
        <v>73</v>
      </c>
      <c r="F1706" s="567">
        <v>14</v>
      </c>
      <c r="G1706" s="567">
        <v>425</v>
      </c>
      <c r="H1706" s="567">
        <v>4170</v>
      </c>
      <c r="O1706"/>
    </row>
    <row r="1707" spans="1:15" x14ac:dyDescent="0.2">
      <c r="A1707" s="567">
        <v>2056</v>
      </c>
      <c r="B1707" s="568" t="s">
        <v>2361</v>
      </c>
      <c r="C1707" s="568" t="s">
        <v>2361</v>
      </c>
      <c r="D1707" s="567">
        <v>5840</v>
      </c>
      <c r="E1707" s="567">
        <v>36</v>
      </c>
      <c r="F1707" s="567">
        <v>6</v>
      </c>
      <c r="G1707" s="567">
        <v>325</v>
      </c>
      <c r="H1707" s="567">
        <v>3160</v>
      </c>
      <c r="O1707"/>
    </row>
    <row r="1708" spans="1:15" x14ac:dyDescent="0.2">
      <c r="A1708" s="567">
        <v>835</v>
      </c>
      <c r="B1708" s="568" t="s">
        <v>451</v>
      </c>
      <c r="C1708" s="568" t="s">
        <v>450</v>
      </c>
      <c r="D1708" s="567">
        <v>2081</v>
      </c>
      <c r="E1708" s="567">
        <v>61</v>
      </c>
      <c r="F1708" s="567">
        <v>14</v>
      </c>
      <c r="G1708" s="567">
        <v>117</v>
      </c>
      <c r="H1708" s="567">
        <v>1130</v>
      </c>
      <c r="O1708"/>
    </row>
    <row r="1709" spans="1:15" x14ac:dyDescent="0.2">
      <c r="A1709" s="567">
        <v>834</v>
      </c>
      <c r="B1709" s="568" t="s">
        <v>451</v>
      </c>
      <c r="C1709" s="568" t="s">
        <v>465</v>
      </c>
      <c r="D1709" s="567">
        <v>2080</v>
      </c>
      <c r="E1709" s="567">
        <v>61</v>
      </c>
      <c r="F1709" s="567">
        <v>14</v>
      </c>
      <c r="G1709" s="567">
        <v>117</v>
      </c>
      <c r="H1709" s="567">
        <v>1130</v>
      </c>
      <c r="O1709"/>
    </row>
    <row r="1710" spans="1:15" x14ac:dyDescent="0.2">
      <c r="A1710" s="567">
        <v>426</v>
      </c>
      <c r="B1710" s="568" t="s">
        <v>638</v>
      </c>
      <c r="C1710" s="568" t="s">
        <v>638</v>
      </c>
      <c r="D1710" s="567">
        <v>800</v>
      </c>
      <c r="E1710" s="567">
        <v>57</v>
      </c>
      <c r="F1710" s="567">
        <v>1</v>
      </c>
      <c r="G1710" s="567">
        <v>125</v>
      </c>
      <c r="H1710" s="567">
        <v>1150</v>
      </c>
      <c r="O1710"/>
    </row>
    <row r="1711" spans="1:15" x14ac:dyDescent="0.2">
      <c r="A1711" s="567">
        <v>3139</v>
      </c>
      <c r="B1711" s="568" t="s">
        <v>3029</v>
      </c>
      <c r="C1711" s="568" t="s">
        <v>3028</v>
      </c>
      <c r="D1711" s="567">
        <v>9092</v>
      </c>
      <c r="E1711" s="567">
        <v>72</v>
      </c>
      <c r="F1711" s="567">
        <v>14</v>
      </c>
      <c r="G1711" s="567">
        <v>437</v>
      </c>
      <c r="H1711" s="567">
        <v>4151</v>
      </c>
      <c r="O1711"/>
    </row>
    <row r="1712" spans="1:15" x14ac:dyDescent="0.2">
      <c r="A1712" s="567">
        <v>3138</v>
      </c>
      <c r="B1712" s="568" t="s">
        <v>3029</v>
      </c>
      <c r="C1712" s="568" t="s">
        <v>1186</v>
      </c>
      <c r="D1712" s="567">
        <v>9091</v>
      </c>
      <c r="E1712" s="567">
        <v>72</v>
      </c>
      <c r="F1712" s="567">
        <v>14</v>
      </c>
      <c r="G1712" s="567">
        <v>437</v>
      </c>
      <c r="H1712" s="567">
        <v>4151</v>
      </c>
      <c r="O1712"/>
    </row>
    <row r="1713" spans="1:15" x14ac:dyDescent="0.2">
      <c r="A1713" s="567">
        <v>3140</v>
      </c>
      <c r="B1713" s="568" t="s">
        <v>3029</v>
      </c>
      <c r="C1713" s="568" t="s">
        <v>3085</v>
      </c>
      <c r="D1713" s="567">
        <v>9093</v>
      </c>
      <c r="E1713" s="567">
        <v>72</v>
      </c>
      <c r="F1713" s="567">
        <v>14</v>
      </c>
      <c r="G1713" s="567">
        <v>437</v>
      </c>
      <c r="H1713" s="567">
        <v>4151</v>
      </c>
      <c r="O1713"/>
    </row>
    <row r="1714" spans="1:15" x14ac:dyDescent="0.2">
      <c r="A1714" s="567">
        <v>3137</v>
      </c>
      <c r="B1714" s="568" t="s">
        <v>3029</v>
      </c>
      <c r="C1714" s="568" t="s">
        <v>3029</v>
      </c>
      <c r="D1714" s="567">
        <v>9090</v>
      </c>
      <c r="E1714" s="567">
        <v>72</v>
      </c>
      <c r="F1714" s="567">
        <v>14</v>
      </c>
      <c r="G1714" s="567">
        <v>437</v>
      </c>
      <c r="H1714" s="567">
        <v>4151</v>
      </c>
      <c r="O1714"/>
    </row>
    <row r="1715" spans="1:15" x14ac:dyDescent="0.2">
      <c r="A1715" s="567">
        <v>1181</v>
      </c>
      <c r="B1715" s="568" t="s">
        <v>1383</v>
      </c>
      <c r="C1715" s="568" t="s">
        <v>1382</v>
      </c>
      <c r="D1715" s="567">
        <v>3112</v>
      </c>
      <c r="E1715" s="567">
        <v>41</v>
      </c>
      <c r="F1715" s="567">
        <v>1</v>
      </c>
      <c r="G1715" s="567">
        <v>226</v>
      </c>
      <c r="H1715" s="567">
        <v>2130</v>
      </c>
      <c r="O1715"/>
    </row>
    <row r="1716" spans="1:15" x14ac:dyDescent="0.2">
      <c r="A1716" s="567">
        <v>1179</v>
      </c>
      <c r="B1716" s="568" t="s">
        <v>1383</v>
      </c>
      <c r="C1716" s="568" t="s">
        <v>1383</v>
      </c>
      <c r="D1716" s="567">
        <v>3110</v>
      </c>
      <c r="E1716" s="567">
        <v>41</v>
      </c>
      <c r="F1716" s="567">
        <v>1</v>
      </c>
      <c r="G1716" s="567">
        <v>226</v>
      </c>
      <c r="H1716" s="567">
        <v>2130</v>
      </c>
      <c r="O1716"/>
    </row>
    <row r="1717" spans="1:15" x14ac:dyDescent="0.2">
      <c r="A1717" s="567">
        <v>1180</v>
      </c>
      <c r="B1717" s="568" t="s">
        <v>1383</v>
      </c>
      <c r="C1717" s="568" t="s">
        <v>1429</v>
      </c>
      <c r="D1717" s="567">
        <v>3111</v>
      </c>
      <c r="E1717" s="567">
        <v>41</v>
      </c>
      <c r="F1717" s="567">
        <v>1</v>
      </c>
      <c r="G1717" s="567">
        <v>226</v>
      </c>
      <c r="H1717" s="567">
        <v>2130</v>
      </c>
      <c r="O1717"/>
    </row>
    <row r="1718" spans="1:15" x14ac:dyDescent="0.2">
      <c r="A1718" s="567">
        <v>757</v>
      </c>
      <c r="B1718" s="568" t="s">
        <v>878</v>
      </c>
      <c r="C1718" s="568" t="s">
        <v>187</v>
      </c>
      <c r="D1718" s="567">
        <v>1783</v>
      </c>
      <c r="E1718" s="567">
        <v>78</v>
      </c>
      <c r="F1718" s="567">
        <v>2</v>
      </c>
      <c r="G1718" s="567">
        <v>116</v>
      </c>
      <c r="H1718" s="567">
        <v>1180</v>
      </c>
      <c r="O1718"/>
    </row>
    <row r="1719" spans="1:15" x14ac:dyDescent="0.2">
      <c r="A1719" s="567">
        <v>754</v>
      </c>
      <c r="B1719" s="568" t="s">
        <v>878</v>
      </c>
      <c r="C1719" s="568" t="s">
        <v>887</v>
      </c>
      <c r="D1719" s="567">
        <v>1780</v>
      </c>
      <c r="E1719" s="567">
        <v>78</v>
      </c>
      <c r="F1719" s="567">
        <v>2</v>
      </c>
      <c r="G1719" s="567">
        <v>116</v>
      </c>
      <c r="H1719" s="567">
        <v>1180</v>
      </c>
      <c r="O1719"/>
    </row>
    <row r="1720" spans="1:15" x14ac:dyDescent="0.2">
      <c r="A1720" s="567">
        <v>755</v>
      </c>
      <c r="B1720" s="568" t="s">
        <v>878</v>
      </c>
      <c r="C1720" s="568" t="s">
        <v>888</v>
      </c>
      <c r="D1720" s="567">
        <v>1781</v>
      </c>
      <c r="E1720" s="567">
        <v>78</v>
      </c>
      <c r="F1720" s="567">
        <v>2</v>
      </c>
      <c r="G1720" s="567">
        <v>116</v>
      </c>
      <c r="H1720" s="567">
        <v>1180</v>
      </c>
      <c r="O1720"/>
    </row>
    <row r="1721" spans="1:15" x14ac:dyDescent="0.2">
      <c r="A1721" s="567">
        <v>756</v>
      </c>
      <c r="B1721" s="568" t="s">
        <v>878</v>
      </c>
      <c r="C1721" s="568" t="s">
        <v>889</v>
      </c>
      <c r="D1721" s="567">
        <v>1782</v>
      </c>
      <c r="E1721" s="567">
        <v>78</v>
      </c>
      <c r="F1721" s="567">
        <v>2</v>
      </c>
      <c r="G1721" s="567">
        <v>116</v>
      </c>
      <c r="H1721" s="567">
        <v>1180</v>
      </c>
      <c r="O1721"/>
    </row>
    <row r="1722" spans="1:15" x14ac:dyDescent="0.2">
      <c r="A1722" s="567">
        <v>417</v>
      </c>
      <c r="B1722" s="568" t="s">
        <v>632</v>
      </c>
      <c r="C1722" s="568" t="s">
        <v>631</v>
      </c>
      <c r="D1722" s="567">
        <v>775</v>
      </c>
      <c r="E1722" s="567">
        <v>58</v>
      </c>
      <c r="F1722" s="567">
        <v>1</v>
      </c>
      <c r="G1722" s="567">
        <v>125</v>
      </c>
      <c r="H1722" s="567">
        <v>1150</v>
      </c>
      <c r="O1722"/>
    </row>
    <row r="1723" spans="1:15" x14ac:dyDescent="0.2">
      <c r="A1723" s="567">
        <v>418</v>
      </c>
      <c r="B1723" s="568" t="s">
        <v>632</v>
      </c>
      <c r="C1723" s="568" t="s">
        <v>633</v>
      </c>
      <c r="D1723" s="567">
        <v>776</v>
      </c>
      <c r="E1723" s="567">
        <v>58</v>
      </c>
      <c r="F1723" s="567">
        <v>1</v>
      </c>
      <c r="G1723" s="567">
        <v>125</v>
      </c>
      <c r="H1723" s="567">
        <v>1150</v>
      </c>
      <c r="O1723"/>
    </row>
    <row r="1724" spans="1:15" x14ac:dyDescent="0.2">
      <c r="A1724" s="567">
        <v>914</v>
      </c>
      <c r="B1724" s="568" t="s">
        <v>73</v>
      </c>
      <c r="C1724" s="568" t="s">
        <v>73</v>
      </c>
      <c r="D1724" s="567">
        <v>2365</v>
      </c>
      <c r="E1724" s="567">
        <v>40</v>
      </c>
      <c r="F1724" s="567">
        <v>18</v>
      </c>
      <c r="G1724" s="567">
        <v>136</v>
      </c>
      <c r="H1724" s="567">
        <v>1101</v>
      </c>
      <c r="O1724"/>
    </row>
    <row r="1725" spans="1:15" x14ac:dyDescent="0.2">
      <c r="A1725" s="567">
        <v>808</v>
      </c>
      <c r="B1725" s="568" t="s">
        <v>830</v>
      </c>
      <c r="C1725" s="568" t="s">
        <v>829</v>
      </c>
      <c r="D1725" s="567">
        <v>1978</v>
      </c>
      <c r="E1725" s="567">
        <v>79</v>
      </c>
      <c r="F1725" s="567">
        <v>14</v>
      </c>
      <c r="G1725" s="567">
        <v>116</v>
      </c>
      <c r="H1725" s="567">
        <v>1180</v>
      </c>
      <c r="O1725"/>
    </row>
    <row r="1726" spans="1:15" x14ac:dyDescent="0.2">
      <c r="A1726" s="567">
        <v>807</v>
      </c>
      <c r="B1726" s="568" t="s">
        <v>830</v>
      </c>
      <c r="C1726" s="568" t="s">
        <v>831</v>
      </c>
      <c r="D1726" s="567">
        <v>1977</v>
      </c>
      <c r="E1726" s="567">
        <v>79</v>
      </c>
      <c r="F1726" s="567">
        <v>14</v>
      </c>
      <c r="G1726" s="567">
        <v>116</v>
      </c>
      <c r="H1726" s="567">
        <v>1180</v>
      </c>
      <c r="O1726"/>
    </row>
    <row r="1727" spans="1:15" x14ac:dyDescent="0.2">
      <c r="A1727" s="567">
        <v>806</v>
      </c>
      <c r="B1727" s="568" t="s">
        <v>830</v>
      </c>
      <c r="C1727" s="568" t="s">
        <v>832</v>
      </c>
      <c r="D1727" s="567">
        <v>1976</v>
      </c>
      <c r="E1727" s="567">
        <v>79</v>
      </c>
      <c r="F1727" s="567">
        <v>14</v>
      </c>
      <c r="G1727" s="567">
        <v>116</v>
      </c>
      <c r="H1727" s="567">
        <v>1180</v>
      </c>
      <c r="O1727"/>
    </row>
    <row r="1728" spans="1:15" x14ac:dyDescent="0.2">
      <c r="A1728" s="567">
        <v>805</v>
      </c>
      <c r="B1728" s="568" t="s">
        <v>830</v>
      </c>
      <c r="C1728" s="568" t="s">
        <v>833</v>
      </c>
      <c r="D1728" s="567">
        <v>1975</v>
      </c>
      <c r="E1728" s="567">
        <v>79</v>
      </c>
      <c r="F1728" s="567">
        <v>14</v>
      </c>
      <c r="G1728" s="567">
        <v>116</v>
      </c>
      <c r="H1728" s="567">
        <v>1180</v>
      </c>
      <c r="O1728"/>
    </row>
    <row r="1729" spans="1:15" x14ac:dyDescent="0.2">
      <c r="A1729" s="567">
        <v>1981</v>
      </c>
      <c r="B1729" s="568" t="s">
        <v>1997</v>
      </c>
      <c r="C1729" s="568" t="s">
        <v>1996</v>
      </c>
      <c r="D1729" s="567">
        <v>5623</v>
      </c>
      <c r="E1729" s="567">
        <v>68</v>
      </c>
      <c r="F1729" s="567">
        <v>6</v>
      </c>
      <c r="G1729" s="567">
        <v>315</v>
      </c>
      <c r="H1729" s="567">
        <v>3120</v>
      </c>
      <c r="O1729"/>
    </row>
    <row r="1730" spans="1:15" x14ac:dyDescent="0.2">
      <c r="A1730" s="567">
        <v>1980</v>
      </c>
      <c r="B1730" s="568" t="s">
        <v>1997</v>
      </c>
      <c r="C1730" s="568" t="s">
        <v>2002</v>
      </c>
      <c r="D1730" s="567">
        <v>5622</v>
      </c>
      <c r="E1730" s="567">
        <v>68</v>
      </c>
      <c r="F1730" s="567">
        <v>6</v>
      </c>
      <c r="G1730" s="567">
        <v>315</v>
      </c>
      <c r="H1730" s="567">
        <v>3120</v>
      </c>
      <c r="O1730"/>
    </row>
    <row r="1731" spans="1:15" x14ac:dyDescent="0.2">
      <c r="A1731" s="567">
        <v>1979</v>
      </c>
      <c r="B1731" s="568" t="s">
        <v>1997</v>
      </c>
      <c r="C1731" s="568" t="s">
        <v>2003</v>
      </c>
      <c r="D1731" s="567">
        <v>5621</v>
      </c>
      <c r="E1731" s="567">
        <v>68</v>
      </c>
      <c r="F1731" s="567">
        <v>6</v>
      </c>
      <c r="G1731" s="567">
        <v>315</v>
      </c>
      <c r="H1731" s="567">
        <v>3120</v>
      </c>
      <c r="O1731"/>
    </row>
    <row r="1732" spans="1:15" x14ac:dyDescent="0.2">
      <c r="A1732" s="567">
        <v>1978</v>
      </c>
      <c r="B1732" s="568" t="s">
        <v>1997</v>
      </c>
      <c r="C1732" s="568" t="s">
        <v>1997</v>
      </c>
      <c r="D1732" s="567">
        <v>5620</v>
      </c>
      <c r="E1732" s="567">
        <v>68</v>
      </c>
      <c r="F1732" s="567">
        <v>6</v>
      </c>
      <c r="G1732" s="567">
        <v>315</v>
      </c>
      <c r="H1732" s="567">
        <v>3120</v>
      </c>
      <c r="O1732"/>
    </row>
    <row r="1733" spans="1:15" x14ac:dyDescent="0.2">
      <c r="A1733" s="567">
        <v>685</v>
      </c>
      <c r="B1733" s="568" t="s">
        <v>667</v>
      </c>
      <c r="C1733" s="568" t="s">
        <v>666</v>
      </c>
      <c r="D1733" s="567">
        <v>1503</v>
      </c>
      <c r="E1733" s="567">
        <v>28</v>
      </c>
      <c r="F1733" s="567">
        <v>2</v>
      </c>
      <c r="G1733" s="567">
        <v>115</v>
      </c>
      <c r="H1733" s="567">
        <v>1161</v>
      </c>
      <c r="O1733"/>
    </row>
    <row r="1734" spans="1:15" x14ac:dyDescent="0.2">
      <c r="A1734" s="567">
        <v>684</v>
      </c>
      <c r="B1734" s="568" t="s">
        <v>667</v>
      </c>
      <c r="C1734" s="568" t="s">
        <v>668</v>
      </c>
      <c r="D1734" s="567">
        <v>1502</v>
      </c>
      <c r="E1734" s="567">
        <v>28</v>
      </c>
      <c r="F1734" s="567">
        <v>2</v>
      </c>
      <c r="G1734" s="567">
        <v>115</v>
      </c>
      <c r="H1734" s="567">
        <v>1161</v>
      </c>
      <c r="O1734"/>
    </row>
    <row r="1735" spans="1:15" x14ac:dyDescent="0.2">
      <c r="A1735" s="567">
        <v>683</v>
      </c>
      <c r="B1735" s="568" t="s">
        <v>667</v>
      </c>
      <c r="C1735" s="568" t="s">
        <v>669</v>
      </c>
      <c r="D1735" s="567">
        <v>1501</v>
      </c>
      <c r="E1735" s="567">
        <v>28</v>
      </c>
      <c r="F1735" s="567">
        <v>2</v>
      </c>
      <c r="G1735" s="567">
        <v>115</v>
      </c>
      <c r="H1735" s="567">
        <v>1161</v>
      </c>
      <c r="O1735"/>
    </row>
    <row r="1736" spans="1:15" x14ac:dyDescent="0.2">
      <c r="A1736" s="567">
        <v>682</v>
      </c>
      <c r="B1736" s="568" t="s">
        <v>667</v>
      </c>
      <c r="C1736" s="568" t="s">
        <v>667</v>
      </c>
      <c r="D1736" s="567">
        <v>1500</v>
      </c>
      <c r="E1736" s="567">
        <v>28</v>
      </c>
      <c r="F1736" s="567">
        <v>2</v>
      </c>
      <c r="G1736" s="567">
        <v>115</v>
      </c>
      <c r="H1736" s="567">
        <v>1161</v>
      </c>
      <c r="O1736"/>
    </row>
    <row r="1737" spans="1:15" x14ac:dyDescent="0.2">
      <c r="A1737" s="567">
        <v>598</v>
      </c>
      <c r="B1737" s="568" t="s">
        <v>247</v>
      </c>
      <c r="C1737" s="568" t="s">
        <v>246</v>
      </c>
      <c r="D1737" s="567">
        <v>1312</v>
      </c>
      <c r="E1737" s="567">
        <v>42</v>
      </c>
      <c r="F1737" s="567">
        <v>2</v>
      </c>
      <c r="G1737" s="567">
        <v>119</v>
      </c>
      <c r="H1737" s="567">
        <v>1110</v>
      </c>
      <c r="O1737"/>
    </row>
    <row r="1738" spans="1:15" x14ac:dyDescent="0.2">
      <c r="A1738" s="567">
        <v>597</v>
      </c>
      <c r="B1738" s="568" t="s">
        <v>247</v>
      </c>
      <c r="C1738" s="568" t="s">
        <v>248</v>
      </c>
      <c r="D1738" s="567">
        <v>1311</v>
      </c>
      <c r="E1738" s="567">
        <v>42</v>
      </c>
      <c r="F1738" s="567">
        <v>2</v>
      </c>
      <c r="G1738" s="567">
        <v>119</v>
      </c>
      <c r="H1738" s="567">
        <v>1110</v>
      </c>
      <c r="O1738"/>
    </row>
    <row r="1739" spans="1:15" x14ac:dyDescent="0.2">
      <c r="A1739" s="567">
        <v>596</v>
      </c>
      <c r="B1739" s="568" t="s">
        <v>247</v>
      </c>
      <c r="C1739" s="568" t="s">
        <v>247</v>
      </c>
      <c r="D1739" s="567">
        <v>1310</v>
      </c>
      <c r="E1739" s="567">
        <v>42</v>
      </c>
      <c r="F1739" s="567">
        <v>2</v>
      </c>
      <c r="G1739" s="567">
        <v>119</v>
      </c>
      <c r="H1739" s="567">
        <v>1110</v>
      </c>
      <c r="O1739"/>
    </row>
    <row r="1740" spans="1:15" x14ac:dyDescent="0.2">
      <c r="A1740" s="567">
        <v>3271</v>
      </c>
      <c r="B1740" s="568" t="s">
        <v>2858</v>
      </c>
      <c r="C1740" s="568" t="s">
        <v>2857</v>
      </c>
      <c r="D1740" s="567">
        <v>9478</v>
      </c>
      <c r="E1740" s="567">
        <v>55</v>
      </c>
      <c r="F1740" s="567">
        <v>10</v>
      </c>
      <c r="G1740" s="567">
        <v>436</v>
      </c>
      <c r="H1740" s="567">
        <v>4120</v>
      </c>
      <c r="O1740"/>
    </row>
    <row r="1741" spans="1:15" x14ac:dyDescent="0.2">
      <c r="A1741" s="567">
        <v>3270</v>
      </c>
      <c r="B1741" s="568" t="s">
        <v>2858</v>
      </c>
      <c r="C1741" s="568" t="s">
        <v>2859</v>
      </c>
      <c r="D1741" s="567">
        <v>9477</v>
      </c>
      <c r="E1741" s="567">
        <v>55</v>
      </c>
      <c r="F1741" s="567">
        <v>10</v>
      </c>
      <c r="G1741" s="567">
        <v>436</v>
      </c>
      <c r="H1741" s="567">
        <v>4120</v>
      </c>
      <c r="O1741"/>
    </row>
    <row r="1742" spans="1:15" x14ac:dyDescent="0.2">
      <c r="A1742" s="567">
        <v>3269</v>
      </c>
      <c r="B1742" s="568" t="s">
        <v>2858</v>
      </c>
      <c r="C1742" s="568" t="s">
        <v>2860</v>
      </c>
      <c r="D1742" s="567">
        <v>9476</v>
      </c>
      <c r="E1742" s="567">
        <v>55</v>
      </c>
      <c r="F1742" s="567">
        <v>10</v>
      </c>
      <c r="G1742" s="567">
        <v>436</v>
      </c>
      <c r="H1742" s="567">
        <v>4120</v>
      </c>
      <c r="O1742"/>
    </row>
    <row r="1743" spans="1:15" x14ac:dyDescent="0.2">
      <c r="A1743" s="567">
        <v>3268</v>
      </c>
      <c r="B1743" s="568" t="s">
        <v>2858</v>
      </c>
      <c r="C1743" s="568" t="s">
        <v>2861</v>
      </c>
      <c r="D1743" s="567">
        <v>9475</v>
      </c>
      <c r="E1743" s="567">
        <v>55</v>
      </c>
      <c r="F1743" s="567">
        <v>10</v>
      </c>
      <c r="G1743" s="567">
        <v>436</v>
      </c>
      <c r="H1743" s="567">
        <v>4120</v>
      </c>
      <c r="O1743"/>
    </row>
    <row r="1744" spans="1:15" x14ac:dyDescent="0.2">
      <c r="A1744" s="567">
        <v>3267</v>
      </c>
      <c r="B1744" s="568" t="s">
        <v>2858</v>
      </c>
      <c r="C1744" s="568" t="s">
        <v>2862</v>
      </c>
      <c r="D1744" s="567">
        <v>9474</v>
      </c>
      <c r="E1744" s="567">
        <v>55</v>
      </c>
      <c r="F1744" s="567">
        <v>10</v>
      </c>
      <c r="G1744" s="567">
        <v>436</v>
      </c>
      <c r="H1744" s="567">
        <v>4120</v>
      </c>
      <c r="O1744"/>
    </row>
    <row r="1745" spans="1:15" x14ac:dyDescent="0.2">
      <c r="A1745" s="567">
        <v>3266</v>
      </c>
      <c r="B1745" s="568" t="s">
        <v>2858</v>
      </c>
      <c r="C1745" s="568" t="s">
        <v>2863</v>
      </c>
      <c r="D1745" s="567">
        <v>9473</v>
      </c>
      <c r="E1745" s="567">
        <v>55</v>
      </c>
      <c r="F1745" s="567">
        <v>10</v>
      </c>
      <c r="G1745" s="567">
        <v>436</v>
      </c>
      <c r="H1745" s="567">
        <v>4120</v>
      </c>
      <c r="O1745"/>
    </row>
    <row r="1746" spans="1:15" x14ac:dyDescent="0.2">
      <c r="A1746" s="567">
        <v>3265</v>
      </c>
      <c r="B1746" s="568" t="s">
        <v>2858</v>
      </c>
      <c r="C1746" s="568" t="s">
        <v>2864</v>
      </c>
      <c r="D1746" s="567">
        <v>9472</v>
      </c>
      <c r="E1746" s="567">
        <v>55</v>
      </c>
      <c r="F1746" s="567">
        <v>10</v>
      </c>
      <c r="G1746" s="567">
        <v>436</v>
      </c>
      <c r="H1746" s="567">
        <v>4120</v>
      </c>
      <c r="O1746"/>
    </row>
    <row r="1747" spans="1:15" x14ac:dyDescent="0.2">
      <c r="A1747" s="567">
        <v>3264</v>
      </c>
      <c r="B1747" s="568" t="s">
        <v>2858</v>
      </c>
      <c r="C1747" s="568" t="s">
        <v>2865</v>
      </c>
      <c r="D1747" s="567">
        <v>9471</v>
      </c>
      <c r="E1747" s="567">
        <v>55</v>
      </c>
      <c r="F1747" s="567">
        <v>10</v>
      </c>
      <c r="G1747" s="567">
        <v>436</v>
      </c>
      <c r="H1747" s="567">
        <v>4120</v>
      </c>
      <c r="O1747"/>
    </row>
    <row r="1748" spans="1:15" x14ac:dyDescent="0.2">
      <c r="A1748" s="567">
        <v>3263</v>
      </c>
      <c r="B1748" s="568" t="s">
        <v>2858</v>
      </c>
      <c r="C1748" s="568" t="s">
        <v>2877</v>
      </c>
      <c r="D1748" s="567">
        <v>9470</v>
      </c>
      <c r="E1748" s="567">
        <v>55</v>
      </c>
      <c r="F1748" s="567">
        <v>10</v>
      </c>
      <c r="G1748" s="567">
        <v>436</v>
      </c>
      <c r="H1748" s="567">
        <v>4120</v>
      </c>
      <c r="O1748"/>
    </row>
    <row r="1749" spans="1:15" x14ac:dyDescent="0.2">
      <c r="A1749" s="567">
        <v>1381</v>
      </c>
      <c r="B1749" s="568" t="s">
        <v>1102</v>
      </c>
      <c r="C1749" s="568" t="s">
        <v>1102</v>
      </c>
      <c r="D1749" s="567">
        <v>3770</v>
      </c>
      <c r="E1749" s="567">
        <v>28</v>
      </c>
      <c r="F1749" s="567">
        <v>3</v>
      </c>
      <c r="G1749" s="567">
        <v>216</v>
      </c>
      <c r="H1749" s="567">
        <v>2100</v>
      </c>
      <c r="O1749"/>
    </row>
    <row r="1750" spans="1:15" x14ac:dyDescent="0.2">
      <c r="A1750" s="567">
        <v>1382</v>
      </c>
      <c r="B1750" s="568" t="s">
        <v>1102</v>
      </c>
      <c r="C1750" s="568" t="s">
        <v>1118</v>
      </c>
      <c r="D1750" s="567">
        <v>3771</v>
      </c>
      <c r="E1750" s="567">
        <v>28</v>
      </c>
      <c r="F1750" s="567">
        <v>3</v>
      </c>
      <c r="G1750" s="567">
        <v>216</v>
      </c>
      <c r="H1750" s="567">
        <v>2100</v>
      </c>
      <c r="O1750"/>
    </row>
    <row r="1751" spans="1:15" x14ac:dyDescent="0.2">
      <c r="A1751" s="567">
        <v>1383</v>
      </c>
      <c r="B1751" s="568" t="s">
        <v>1102</v>
      </c>
      <c r="C1751" s="568" t="s">
        <v>1119</v>
      </c>
      <c r="D1751" s="567">
        <v>3772</v>
      </c>
      <c r="E1751" s="567">
        <v>28</v>
      </c>
      <c r="F1751" s="567">
        <v>3</v>
      </c>
      <c r="G1751" s="567">
        <v>216</v>
      </c>
      <c r="H1751" s="567">
        <v>2100</v>
      </c>
      <c r="O1751"/>
    </row>
    <row r="1752" spans="1:15" x14ac:dyDescent="0.2">
      <c r="A1752" s="567">
        <v>1384</v>
      </c>
      <c r="B1752" s="568" t="s">
        <v>1102</v>
      </c>
      <c r="C1752" s="568" t="s">
        <v>1120</v>
      </c>
      <c r="D1752" s="567">
        <v>3773</v>
      </c>
      <c r="E1752" s="567">
        <v>28</v>
      </c>
      <c r="F1752" s="567">
        <v>3</v>
      </c>
      <c r="G1752" s="567">
        <v>216</v>
      </c>
      <c r="H1752" s="567">
        <v>2100</v>
      </c>
      <c r="O1752"/>
    </row>
    <row r="1753" spans="1:15" x14ac:dyDescent="0.2">
      <c r="A1753" s="567">
        <v>1385</v>
      </c>
      <c r="B1753" s="568" t="s">
        <v>1102</v>
      </c>
      <c r="C1753" s="568" t="s">
        <v>1121</v>
      </c>
      <c r="D1753" s="567">
        <v>3774</v>
      </c>
      <c r="E1753" s="567">
        <v>28</v>
      </c>
      <c r="F1753" s="567">
        <v>3</v>
      </c>
      <c r="G1753" s="567">
        <v>216</v>
      </c>
      <c r="H1753" s="567">
        <v>2100</v>
      </c>
      <c r="O1753"/>
    </row>
    <row r="1754" spans="1:15" x14ac:dyDescent="0.2">
      <c r="A1754" s="567">
        <v>2678</v>
      </c>
      <c r="B1754" s="568" t="s">
        <v>2926</v>
      </c>
      <c r="C1754" s="568" t="s">
        <v>2925</v>
      </c>
      <c r="D1754" s="567">
        <v>7720</v>
      </c>
      <c r="E1754" s="567">
        <v>92</v>
      </c>
      <c r="F1754" s="567">
        <v>14</v>
      </c>
      <c r="G1754" s="567">
        <v>415</v>
      </c>
      <c r="H1754" s="567">
        <v>4131</v>
      </c>
      <c r="O1754"/>
    </row>
    <row r="1755" spans="1:15" x14ac:dyDescent="0.2">
      <c r="A1755" s="567">
        <v>2679</v>
      </c>
      <c r="B1755" s="568" t="s">
        <v>2926</v>
      </c>
      <c r="C1755" s="568" t="s">
        <v>2214</v>
      </c>
      <c r="D1755" s="567">
        <v>7721</v>
      </c>
      <c r="E1755" s="567">
        <v>92</v>
      </c>
      <c r="F1755" s="567">
        <v>14</v>
      </c>
      <c r="G1755" s="567">
        <v>415</v>
      </c>
      <c r="H1755" s="567">
        <v>4131</v>
      </c>
      <c r="O1755"/>
    </row>
    <row r="1756" spans="1:15" x14ac:dyDescent="0.2">
      <c r="A1756" s="567">
        <v>2680</v>
      </c>
      <c r="B1756" s="568" t="s">
        <v>2926</v>
      </c>
      <c r="C1756" s="568" t="s">
        <v>2927</v>
      </c>
      <c r="D1756" s="567">
        <v>7722</v>
      </c>
      <c r="E1756" s="567">
        <v>92</v>
      </c>
      <c r="F1756" s="567">
        <v>14</v>
      </c>
      <c r="G1756" s="567">
        <v>415</v>
      </c>
      <c r="H1756" s="567">
        <v>4131</v>
      </c>
      <c r="O1756"/>
    </row>
    <row r="1757" spans="1:15" x14ac:dyDescent="0.2">
      <c r="A1757" s="567">
        <v>739</v>
      </c>
      <c r="B1757" s="568" t="s">
        <v>862</v>
      </c>
      <c r="C1757" s="568" t="s">
        <v>861</v>
      </c>
      <c r="D1757" s="567">
        <v>1711</v>
      </c>
      <c r="E1757" s="567">
        <v>37</v>
      </c>
      <c r="F1757" s="567">
        <v>18</v>
      </c>
      <c r="G1757" s="567">
        <v>116</v>
      </c>
      <c r="H1757" s="567">
        <v>1180</v>
      </c>
      <c r="O1757"/>
    </row>
    <row r="1758" spans="1:15" x14ac:dyDescent="0.2">
      <c r="A1758" s="567">
        <v>738</v>
      </c>
      <c r="B1758" s="568" t="s">
        <v>862</v>
      </c>
      <c r="C1758" s="568" t="s">
        <v>873</v>
      </c>
      <c r="D1758" s="567">
        <v>1710</v>
      </c>
      <c r="E1758" s="567">
        <v>37</v>
      </c>
      <c r="F1758" s="567">
        <v>18</v>
      </c>
      <c r="G1758" s="567">
        <v>116</v>
      </c>
      <c r="H1758" s="567">
        <v>1180</v>
      </c>
      <c r="O1758"/>
    </row>
    <row r="1759" spans="1:15" x14ac:dyDescent="0.2">
      <c r="A1759" s="567">
        <v>1079</v>
      </c>
      <c r="B1759" s="568" t="s">
        <v>1478</v>
      </c>
      <c r="C1759" s="568" t="s">
        <v>1477</v>
      </c>
      <c r="D1759" s="567">
        <v>2776</v>
      </c>
      <c r="E1759" s="567">
        <v>52</v>
      </c>
      <c r="F1759" s="567">
        <v>21</v>
      </c>
      <c r="G1759" s="567">
        <v>225</v>
      </c>
      <c r="H1759" s="567">
        <v>2140</v>
      </c>
      <c r="O1759"/>
    </row>
    <row r="1760" spans="1:15" x14ac:dyDescent="0.2">
      <c r="A1760" s="567">
        <v>1077</v>
      </c>
      <c r="B1760" s="568" t="s">
        <v>1478</v>
      </c>
      <c r="C1760" s="568" t="s">
        <v>1479</v>
      </c>
      <c r="D1760" s="567">
        <v>2774</v>
      </c>
      <c r="E1760" s="567">
        <v>52</v>
      </c>
      <c r="F1760" s="567">
        <v>21</v>
      </c>
      <c r="G1760" s="567">
        <v>225</v>
      </c>
      <c r="H1760" s="567">
        <v>2140</v>
      </c>
      <c r="O1760"/>
    </row>
    <row r="1761" spans="1:15" x14ac:dyDescent="0.2">
      <c r="A1761" s="567">
        <v>1075</v>
      </c>
      <c r="B1761" s="568" t="s">
        <v>1478</v>
      </c>
      <c r="C1761" s="568" t="s">
        <v>1480</v>
      </c>
      <c r="D1761" s="567">
        <v>2772</v>
      </c>
      <c r="E1761" s="567">
        <v>52</v>
      </c>
      <c r="F1761" s="567">
        <v>21</v>
      </c>
      <c r="G1761" s="567">
        <v>225</v>
      </c>
      <c r="H1761" s="567">
        <v>2140</v>
      </c>
      <c r="O1761"/>
    </row>
    <row r="1762" spans="1:15" x14ac:dyDescent="0.2">
      <c r="A1762" s="567">
        <v>1074</v>
      </c>
      <c r="B1762" s="568" t="s">
        <v>1478</v>
      </c>
      <c r="C1762" s="568" t="s">
        <v>1481</v>
      </c>
      <c r="D1762" s="567">
        <v>2771</v>
      </c>
      <c r="E1762" s="567">
        <v>52</v>
      </c>
      <c r="F1762" s="567">
        <v>21</v>
      </c>
      <c r="G1762" s="567">
        <v>225</v>
      </c>
      <c r="H1762" s="567">
        <v>2140</v>
      </c>
      <c r="O1762"/>
    </row>
    <row r="1763" spans="1:15" x14ac:dyDescent="0.2">
      <c r="A1763" s="567">
        <v>1073</v>
      </c>
      <c r="B1763" s="568" t="s">
        <v>1478</v>
      </c>
      <c r="C1763" s="568" t="s">
        <v>1478</v>
      </c>
      <c r="D1763" s="567">
        <v>2770</v>
      </c>
      <c r="E1763" s="567">
        <v>52</v>
      </c>
      <c r="F1763" s="567">
        <v>21</v>
      </c>
      <c r="G1763" s="567">
        <v>225</v>
      </c>
      <c r="H1763" s="567">
        <v>2140</v>
      </c>
      <c r="O1763"/>
    </row>
    <row r="1764" spans="1:15" x14ac:dyDescent="0.2">
      <c r="A1764" s="567">
        <v>1078</v>
      </c>
      <c r="B1764" s="568" t="s">
        <v>1478</v>
      </c>
      <c r="C1764" s="568" t="s">
        <v>1542</v>
      </c>
      <c r="D1764" s="567">
        <v>2775</v>
      </c>
      <c r="E1764" s="567">
        <v>52</v>
      </c>
      <c r="F1764" s="567">
        <v>21</v>
      </c>
      <c r="G1764" s="567">
        <v>225</v>
      </c>
      <c r="H1764" s="567">
        <v>2140</v>
      </c>
      <c r="O1764"/>
    </row>
    <row r="1765" spans="1:15" x14ac:dyDescent="0.2">
      <c r="A1765" s="567">
        <v>1076</v>
      </c>
      <c r="B1765" s="568" t="s">
        <v>1478</v>
      </c>
      <c r="C1765" s="568" t="s">
        <v>1565</v>
      </c>
      <c r="D1765" s="567">
        <v>2773</v>
      </c>
      <c r="E1765" s="567">
        <v>52</v>
      </c>
      <c r="F1765" s="567">
        <v>21</v>
      </c>
      <c r="G1765" s="567">
        <v>225</v>
      </c>
      <c r="H1765" s="567">
        <v>2140</v>
      </c>
      <c r="O1765"/>
    </row>
    <row r="1766" spans="1:15" x14ac:dyDescent="0.2">
      <c r="A1766" s="567">
        <v>1260</v>
      </c>
      <c r="B1766" s="568" t="s">
        <v>1304</v>
      </c>
      <c r="C1766" s="568" t="s">
        <v>1303</v>
      </c>
      <c r="D1766" s="567">
        <v>3410</v>
      </c>
      <c r="E1766" s="567">
        <v>105</v>
      </c>
      <c r="F1766" s="567">
        <v>3</v>
      </c>
      <c r="G1766" s="567">
        <v>215</v>
      </c>
      <c r="H1766" s="567">
        <v>2121</v>
      </c>
      <c r="O1766"/>
    </row>
    <row r="1767" spans="1:15" x14ac:dyDescent="0.2">
      <c r="A1767" s="567">
        <v>1261</v>
      </c>
      <c r="B1767" s="568" t="s">
        <v>1304</v>
      </c>
      <c r="C1767" s="568" t="s">
        <v>1305</v>
      </c>
      <c r="D1767" s="567">
        <v>3411</v>
      </c>
      <c r="E1767" s="567">
        <v>105</v>
      </c>
      <c r="F1767" s="567">
        <v>3</v>
      </c>
      <c r="G1767" s="567">
        <v>215</v>
      </c>
      <c r="H1767" s="567">
        <v>2121</v>
      </c>
      <c r="O1767"/>
    </row>
    <row r="1768" spans="1:15" x14ac:dyDescent="0.2">
      <c r="A1768" s="567">
        <v>1183</v>
      </c>
      <c r="B1768" s="568" t="s">
        <v>1380</v>
      </c>
      <c r="C1768" s="568" t="s">
        <v>1379</v>
      </c>
      <c r="D1768" s="567">
        <v>3125</v>
      </c>
      <c r="E1768" s="567">
        <v>104</v>
      </c>
      <c r="F1768" s="567">
        <v>21</v>
      </c>
      <c r="G1768" s="567">
        <v>226</v>
      </c>
      <c r="H1768" s="567">
        <v>2130</v>
      </c>
      <c r="O1768"/>
    </row>
    <row r="1769" spans="1:15" x14ac:dyDescent="0.2">
      <c r="A1769" s="567">
        <v>1184</v>
      </c>
      <c r="B1769" s="568" t="s">
        <v>1380</v>
      </c>
      <c r="C1769" s="568" t="s">
        <v>1431</v>
      </c>
      <c r="D1769" s="567">
        <v>3126</v>
      </c>
      <c r="E1769" s="567">
        <v>104</v>
      </c>
      <c r="F1769" s="567">
        <v>21</v>
      </c>
      <c r="G1769" s="567">
        <v>226</v>
      </c>
      <c r="H1769" s="567">
        <v>2130</v>
      </c>
      <c r="O1769"/>
    </row>
    <row r="1770" spans="1:15" x14ac:dyDescent="0.2">
      <c r="A1770" s="567">
        <v>490</v>
      </c>
      <c r="B1770" s="568" t="s">
        <v>769</v>
      </c>
      <c r="C1770" s="568" t="s">
        <v>769</v>
      </c>
      <c r="D1770" s="567">
        <v>965</v>
      </c>
      <c r="E1770" s="567">
        <v>47</v>
      </c>
      <c r="F1770" s="567">
        <v>1</v>
      </c>
      <c r="G1770" s="567">
        <v>118</v>
      </c>
      <c r="H1770" s="567">
        <v>1170</v>
      </c>
      <c r="O1770"/>
    </row>
    <row r="1771" spans="1:15" x14ac:dyDescent="0.2">
      <c r="A1771" s="567">
        <v>1365</v>
      </c>
      <c r="B1771" s="568" t="s">
        <v>1147</v>
      </c>
      <c r="C1771" s="568" t="s">
        <v>1147</v>
      </c>
      <c r="D1771" s="567">
        <v>3725</v>
      </c>
      <c r="E1771" s="567">
        <v>29</v>
      </c>
      <c r="F1771" s="567">
        <v>5</v>
      </c>
      <c r="G1771" s="567">
        <v>216</v>
      </c>
      <c r="H1771" s="567">
        <v>2100</v>
      </c>
      <c r="O1771"/>
    </row>
    <row r="1772" spans="1:15" x14ac:dyDescent="0.2">
      <c r="A1772" s="567">
        <v>1971</v>
      </c>
      <c r="B1772" s="568" t="s">
        <v>1993</v>
      </c>
      <c r="C1772" s="568" t="s">
        <v>1993</v>
      </c>
      <c r="D1772" s="567">
        <v>5600</v>
      </c>
      <c r="E1772" s="567">
        <v>70</v>
      </c>
      <c r="F1772" s="567">
        <v>8</v>
      </c>
      <c r="G1772" s="567">
        <v>315</v>
      </c>
      <c r="H1772" s="567">
        <v>3120</v>
      </c>
      <c r="O1772"/>
    </row>
    <row r="1773" spans="1:15" x14ac:dyDescent="0.2">
      <c r="A1773" s="567">
        <v>1972</v>
      </c>
      <c r="B1773" s="568" t="s">
        <v>1993</v>
      </c>
      <c r="C1773" s="568" t="s">
        <v>1994</v>
      </c>
      <c r="D1773" s="567">
        <v>5601</v>
      </c>
      <c r="E1773" s="567">
        <v>70</v>
      </c>
      <c r="F1773" s="567">
        <v>8</v>
      </c>
      <c r="G1773" s="567">
        <v>315</v>
      </c>
      <c r="H1773" s="567">
        <v>3120</v>
      </c>
      <c r="O1773"/>
    </row>
    <row r="1774" spans="1:15" x14ac:dyDescent="0.2">
      <c r="A1774" s="567">
        <v>1973</v>
      </c>
      <c r="B1774" s="568" t="s">
        <v>1993</v>
      </c>
      <c r="C1774" s="568" t="s">
        <v>1995</v>
      </c>
      <c r="D1774" s="567">
        <v>5602</v>
      </c>
      <c r="E1774" s="567">
        <v>70</v>
      </c>
      <c r="F1774" s="567">
        <v>8</v>
      </c>
      <c r="G1774" s="567">
        <v>315</v>
      </c>
      <c r="H1774" s="567">
        <v>3120</v>
      </c>
      <c r="O1774"/>
    </row>
    <row r="1775" spans="1:15" x14ac:dyDescent="0.2">
      <c r="A1775" s="567">
        <v>1974</v>
      </c>
      <c r="B1775" s="568" t="s">
        <v>1993</v>
      </c>
      <c r="C1775" s="568" t="s">
        <v>1999</v>
      </c>
      <c r="D1775" s="567">
        <v>5603</v>
      </c>
      <c r="E1775" s="567">
        <v>70</v>
      </c>
      <c r="F1775" s="567">
        <v>8</v>
      </c>
      <c r="G1775" s="567">
        <v>315</v>
      </c>
      <c r="H1775" s="567">
        <v>3120</v>
      </c>
      <c r="O1775"/>
    </row>
    <row r="1776" spans="1:15" x14ac:dyDescent="0.2">
      <c r="A1776" s="567">
        <v>1977</v>
      </c>
      <c r="B1776" s="568" t="s">
        <v>1993</v>
      </c>
      <c r="C1776" s="568" t="s">
        <v>2005</v>
      </c>
      <c r="D1776" s="567">
        <v>5606</v>
      </c>
      <c r="E1776" s="567">
        <v>70</v>
      </c>
      <c r="F1776" s="567">
        <v>8</v>
      </c>
      <c r="G1776" s="567">
        <v>315</v>
      </c>
      <c r="H1776" s="567">
        <v>3120</v>
      </c>
      <c r="O1776"/>
    </row>
    <row r="1777" spans="1:15" x14ac:dyDescent="0.2">
      <c r="A1777" s="567">
        <v>1976</v>
      </c>
      <c r="B1777" s="568" t="s">
        <v>1993</v>
      </c>
      <c r="C1777" s="568" t="s">
        <v>2006</v>
      </c>
      <c r="D1777" s="567">
        <v>5605</v>
      </c>
      <c r="E1777" s="567">
        <v>70</v>
      </c>
      <c r="F1777" s="567">
        <v>8</v>
      </c>
      <c r="G1777" s="567">
        <v>315</v>
      </c>
      <c r="H1777" s="567">
        <v>3120</v>
      </c>
      <c r="O1777"/>
    </row>
    <row r="1778" spans="1:15" x14ac:dyDescent="0.2">
      <c r="A1778" s="567">
        <v>1975</v>
      </c>
      <c r="B1778" s="568" t="s">
        <v>1993</v>
      </c>
      <c r="C1778" s="568" t="s">
        <v>2007</v>
      </c>
      <c r="D1778" s="567">
        <v>5604</v>
      </c>
      <c r="E1778" s="567">
        <v>70</v>
      </c>
      <c r="F1778" s="567">
        <v>8</v>
      </c>
      <c r="G1778" s="567">
        <v>315</v>
      </c>
      <c r="H1778" s="567">
        <v>3120</v>
      </c>
      <c r="O1778"/>
    </row>
    <row r="1779" spans="1:15" x14ac:dyDescent="0.2">
      <c r="A1779" s="567">
        <v>2834</v>
      </c>
      <c r="B1779" s="568" t="s">
        <v>3237</v>
      </c>
      <c r="C1779" s="568" t="s">
        <v>3236</v>
      </c>
      <c r="D1779" s="567">
        <v>8135</v>
      </c>
      <c r="E1779" s="567">
        <v>75</v>
      </c>
      <c r="F1779" s="567">
        <v>14</v>
      </c>
      <c r="G1779" s="567">
        <v>425</v>
      </c>
      <c r="H1779" s="567">
        <v>4170</v>
      </c>
      <c r="O1779"/>
    </row>
    <row r="1780" spans="1:15" x14ac:dyDescent="0.2">
      <c r="A1780" s="567">
        <v>2829</v>
      </c>
      <c r="B1780" s="568" t="s">
        <v>3237</v>
      </c>
      <c r="C1780" s="568" t="s">
        <v>3237</v>
      </c>
      <c r="D1780" s="567">
        <v>8130</v>
      </c>
      <c r="E1780" s="567">
        <v>75</v>
      </c>
      <c r="F1780" s="567">
        <v>14</v>
      </c>
      <c r="G1780" s="567">
        <v>425</v>
      </c>
      <c r="H1780" s="567">
        <v>4170</v>
      </c>
      <c r="O1780"/>
    </row>
    <row r="1781" spans="1:15" x14ac:dyDescent="0.2">
      <c r="A1781" s="567">
        <v>2830</v>
      </c>
      <c r="B1781" s="568" t="s">
        <v>3237</v>
      </c>
      <c r="C1781" s="568" t="s">
        <v>3244</v>
      </c>
      <c r="D1781" s="567">
        <v>8131</v>
      </c>
      <c r="E1781" s="567">
        <v>75</v>
      </c>
      <c r="F1781" s="567">
        <v>14</v>
      </c>
      <c r="G1781" s="567">
        <v>425</v>
      </c>
      <c r="H1781" s="567">
        <v>4170</v>
      </c>
      <c r="O1781"/>
    </row>
    <row r="1782" spans="1:15" x14ac:dyDescent="0.2">
      <c r="A1782" s="567">
        <v>2831</v>
      </c>
      <c r="B1782" s="568" t="s">
        <v>3237</v>
      </c>
      <c r="C1782" s="568" t="s">
        <v>3245</v>
      </c>
      <c r="D1782" s="567">
        <v>8132</v>
      </c>
      <c r="E1782" s="567">
        <v>75</v>
      </c>
      <c r="F1782" s="567">
        <v>14</v>
      </c>
      <c r="G1782" s="567">
        <v>425</v>
      </c>
      <c r="H1782" s="567">
        <v>4170</v>
      </c>
      <c r="O1782"/>
    </row>
    <row r="1783" spans="1:15" x14ac:dyDescent="0.2">
      <c r="A1783" s="567">
        <v>2833</v>
      </c>
      <c r="B1783" s="568" t="s">
        <v>3237</v>
      </c>
      <c r="C1783" s="568" t="s">
        <v>3246</v>
      </c>
      <c r="D1783" s="567">
        <v>8134</v>
      </c>
      <c r="E1783" s="567">
        <v>75</v>
      </c>
      <c r="F1783" s="567">
        <v>14</v>
      </c>
      <c r="G1783" s="567">
        <v>425</v>
      </c>
      <c r="H1783" s="567">
        <v>4170</v>
      </c>
      <c r="O1783"/>
    </row>
    <row r="1784" spans="1:15" x14ac:dyDescent="0.2">
      <c r="A1784" s="567">
        <v>2832</v>
      </c>
      <c r="B1784" s="568" t="s">
        <v>3237</v>
      </c>
      <c r="C1784" s="568" t="s">
        <v>3260</v>
      </c>
      <c r="D1784" s="567">
        <v>8133</v>
      </c>
      <c r="E1784" s="567">
        <v>75</v>
      </c>
      <c r="F1784" s="567">
        <v>14</v>
      </c>
      <c r="G1784" s="567">
        <v>425</v>
      </c>
      <c r="H1784" s="567">
        <v>4170</v>
      </c>
      <c r="O1784"/>
    </row>
    <row r="1785" spans="1:15" x14ac:dyDescent="0.2">
      <c r="A1785" s="567">
        <v>971</v>
      </c>
      <c r="B1785" s="568" t="s">
        <v>128</v>
      </c>
      <c r="C1785" s="568" t="s">
        <v>128</v>
      </c>
      <c r="D1785" s="567">
        <v>2520</v>
      </c>
      <c r="E1785" s="567">
        <v>42</v>
      </c>
      <c r="F1785" s="567">
        <v>18</v>
      </c>
      <c r="G1785" s="567">
        <v>136</v>
      </c>
      <c r="H1785" s="567">
        <v>1101</v>
      </c>
      <c r="O1785"/>
    </row>
    <row r="1786" spans="1:15" x14ac:dyDescent="0.2">
      <c r="A1786" s="567">
        <v>972</v>
      </c>
      <c r="B1786" s="568" t="s">
        <v>128</v>
      </c>
      <c r="C1786" s="568" t="s">
        <v>129</v>
      </c>
      <c r="D1786" s="567">
        <v>2521</v>
      </c>
      <c r="E1786" s="567">
        <v>42</v>
      </c>
      <c r="F1786" s="567">
        <v>18</v>
      </c>
      <c r="G1786" s="567">
        <v>136</v>
      </c>
      <c r="H1786" s="567">
        <v>1101</v>
      </c>
      <c r="O1786"/>
    </row>
    <row r="1787" spans="1:15" x14ac:dyDescent="0.2">
      <c r="A1787" s="567">
        <v>2562</v>
      </c>
      <c r="B1787" s="568" t="s">
        <v>2034</v>
      </c>
      <c r="C1787" s="568" t="s">
        <v>2033</v>
      </c>
      <c r="D1787" s="567">
        <v>7353</v>
      </c>
      <c r="E1787" s="567">
        <v>50</v>
      </c>
      <c r="F1787" s="567">
        <v>3</v>
      </c>
      <c r="G1787" s="567">
        <v>336</v>
      </c>
      <c r="H1787" s="567">
        <v>3130</v>
      </c>
      <c r="O1787"/>
    </row>
    <row r="1788" spans="1:15" x14ac:dyDescent="0.2">
      <c r="A1788" s="567">
        <v>2560</v>
      </c>
      <c r="B1788" s="568" t="s">
        <v>2034</v>
      </c>
      <c r="C1788" s="568" t="s">
        <v>1395</v>
      </c>
      <c r="D1788" s="567">
        <v>7351</v>
      </c>
      <c r="E1788" s="567">
        <v>50</v>
      </c>
      <c r="F1788" s="567">
        <v>3</v>
      </c>
      <c r="G1788" s="567">
        <v>336</v>
      </c>
      <c r="H1788" s="567">
        <v>3130</v>
      </c>
      <c r="O1788"/>
    </row>
    <row r="1789" spans="1:15" x14ac:dyDescent="0.2">
      <c r="A1789" s="567">
        <v>2561</v>
      </c>
      <c r="B1789" s="568" t="s">
        <v>2034</v>
      </c>
      <c r="C1789" s="568" t="s">
        <v>395</v>
      </c>
      <c r="D1789" s="567">
        <v>7352</v>
      </c>
      <c r="E1789" s="567">
        <v>50</v>
      </c>
      <c r="F1789" s="567">
        <v>3</v>
      </c>
      <c r="G1789" s="567">
        <v>336</v>
      </c>
      <c r="H1789" s="567">
        <v>3130</v>
      </c>
      <c r="O1789"/>
    </row>
    <row r="1790" spans="1:15" x14ac:dyDescent="0.2">
      <c r="A1790" s="567">
        <v>2559</v>
      </c>
      <c r="B1790" s="568" t="s">
        <v>2034</v>
      </c>
      <c r="C1790" s="568" t="s">
        <v>2034</v>
      </c>
      <c r="D1790" s="567">
        <v>7350</v>
      </c>
      <c r="E1790" s="567">
        <v>50</v>
      </c>
      <c r="F1790" s="567">
        <v>3</v>
      </c>
      <c r="G1790" s="567">
        <v>336</v>
      </c>
      <c r="H1790" s="567">
        <v>3130</v>
      </c>
      <c r="O1790"/>
    </row>
    <row r="1791" spans="1:15" x14ac:dyDescent="0.2">
      <c r="A1791" s="567">
        <v>1642</v>
      </c>
      <c r="B1791" s="568" t="s">
        <v>1200</v>
      </c>
      <c r="C1791" s="568" t="s">
        <v>1200</v>
      </c>
      <c r="D1791" s="567">
        <v>4510</v>
      </c>
      <c r="E1791" s="567">
        <v>45</v>
      </c>
      <c r="F1791" s="567">
        <v>7</v>
      </c>
      <c r="G1791" s="567">
        <v>237</v>
      </c>
      <c r="H1791" s="567">
        <v>2110</v>
      </c>
      <c r="O1791"/>
    </row>
    <row r="1792" spans="1:15" x14ac:dyDescent="0.2">
      <c r="A1792" s="567">
        <v>1647</v>
      </c>
      <c r="B1792" s="568" t="s">
        <v>1200</v>
      </c>
      <c r="C1792" s="568" t="s">
        <v>1203</v>
      </c>
      <c r="D1792" s="567">
        <v>4515</v>
      </c>
      <c r="E1792" s="567">
        <v>45</v>
      </c>
      <c r="F1792" s="567">
        <v>7</v>
      </c>
      <c r="G1792" s="567">
        <v>237</v>
      </c>
      <c r="H1792" s="567">
        <v>2110</v>
      </c>
      <c r="O1792"/>
    </row>
    <row r="1793" spans="1:15" x14ac:dyDescent="0.2">
      <c r="A1793" s="567">
        <v>1646</v>
      </c>
      <c r="B1793" s="568" t="s">
        <v>1200</v>
      </c>
      <c r="C1793" s="568" t="s">
        <v>1204</v>
      </c>
      <c r="D1793" s="567">
        <v>4514</v>
      </c>
      <c r="E1793" s="567">
        <v>45</v>
      </c>
      <c r="F1793" s="567">
        <v>7</v>
      </c>
      <c r="G1793" s="567">
        <v>237</v>
      </c>
      <c r="H1793" s="567">
        <v>2110</v>
      </c>
      <c r="O1793"/>
    </row>
    <row r="1794" spans="1:15" x14ac:dyDescent="0.2">
      <c r="A1794" s="567">
        <v>1645</v>
      </c>
      <c r="B1794" s="568" t="s">
        <v>1200</v>
      </c>
      <c r="C1794" s="568" t="s">
        <v>1205</v>
      </c>
      <c r="D1794" s="567">
        <v>4513</v>
      </c>
      <c r="E1794" s="567">
        <v>45</v>
      </c>
      <c r="F1794" s="567">
        <v>7</v>
      </c>
      <c r="G1794" s="567">
        <v>237</v>
      </c>
      <c r="H1794" s="567">
        <v>2110</v>
      </c>
      <c r="O1794"/>
    </row>
    <row r="1795" spans="1:15" x14ac:dyDescent="0.2">
      <c r="A1795" s="567">
        <v>1644</v>
      </c>
      <c r="B1795" s="568" t="s">
        <v>1200</v>
      </c>
      <c r="C1795" s="568" t="s">
        <v>1206</v>
      </c>
      <c r="D1795" s="567">
        <v>4512</v>
      </c>
      <c r="E1795" s="567">
        <v>45</v>
      </c>
      <c r="F1795" s="567">
        <v>7</v>
      </c>
      <c r="G1795" s="567">
        <v>237</v>
      </c>
      <c r="H1795" s="567">
        <v>2110</v>
      </c>
      <c r="O1795"/>
    </row>
    <row r="1796" spans="1:15" x14ac:dyDescent="0.2">
      <c r="A1796" s="567">
        <v>1643</v>
      </c>
      <c r="B1796" s="568" t="s">
        <v>1200</v>
      </c>
      <c r="C1796" s="568" t="s">
        <v>1207</v>
      </c>
      <c r="D1796" s="567">
        <v>4511</v>
      </c>
      <c r="E1796" s="567">
        <v>45</v>
      </c>
      <c r="F1796" s="567">
        <v>7</v>
      </c>
      <c r="G1796" s="567">
        <v>237</v>
      </c>
      <c r="H1796" s="567">
        <v>2110</v>
      </c>
      <c r="O1796"/>
    </row>
    <row r="1797" spans="1:15" x14ac:dyDescent="0.2">
      <c r="A1797" s="567">
        <v>2421</v>
      </c>
      <c r="B1797" s="568" t="s">
        <v>2467</v>
      </c>
      <c r="C1797" s="568" t="s">
        <v>2467</v>
      </c>
      <c r="D1797" s="567">
        <v>6955</v>
      </c>
      <c r="E1797" s="567">
        <v>70</v>
      </c>
      <c r="F1797" s="567">
        <v>3</v>
      </c>
      <c r="G1797" s="567">
        <v>337</v>
      </c>
      <c r="H1797" s="567">
        <v>3180</v>
      </c>
      <c r="O1797"/>
    </row>
    <row r="1798" spans="1:15" x14ac:dyDescent="0.2">
      <c r="A1798" s="567">
        <v>433</v>
      </c>
      <c r="B1798" s="568" t="s">
        <v>593</v>
      </c>
      <c r="C1798" s="568" t="s">
        <v>593</v>
      </c>
      <c r="D1798" s="567">
        <v>815</v>
      </c>
      <c r="E1798" s="567">
        <v>59</v>
      </c>
      <c r="F1798" s="567">
        <v>2</v>
      </c>
      <c r="G1798" s="567">
        <v>125</v>
      </c>
      <c r="H1798" s="567">
        <v>1150</v>
      </c>
      <c r="O1798"/>
    </row>
    <row r="1799" spans="1:15" x14ac:dyDescent="0.2">
      <c r="A1799" s="567">
        <v>434</v>
      </c>
      <c r="B1799" s="568" t="s">
        <v>593</v>
      </c>
      <c r="C1799" s="568" t="s">
        <v>594</v>
      </c>
      <c r="D1799" s="567">
        <v>816</v>
      </c>
      <c r="E1799" s="567">
        <v>59</v>
      </c>
      <c r="F1799" s="567">
        <v>2</v>
      </c>
      <c r="G1799" s="567">
        <v>125</v>
      </c>
      <c r="H1799" s="567">
        <v>1150</v>
      </c>
      <c r="O1799"/>
    </row>
    <row r="1800" spans="1:15" x14ac:dyDescent="0.2">
      <c r="A1800" s="567">
        <v>539</v>
      </c>
      <c r="B1800" s="568" t="s">
        <v>761</v>
      </c>
      <c r="C1800" s="568" t="s">
        <v>760</v>
      </c>
      <c r="D1800" s="567">
        <v>1113</v>
      </c>
      <c r="E1800" s="567">
        <v>48</v>
      </c>
      <c r="F1800" s="567">
        <v>1</v>
      </c>
      <c r="G1800" s="567">
        <v>118</v>
      </c>
      <c r="H1800" s="567">
        <v>1170</v>
      </c>
      <c r="O1800"/>
    </row>
    <row r="1801" spans="1:15" x14ac:dyDescent="0.2">
      <c r="A1801" s="567">
        <v>538</v>
      </c>
      <c r="B1801" s="568" t="s">
        <v>761</v>
      </c>
      <c r="C1801" s="568" t="s">
        <v>762</v>
      </c>
      <c r="D1801" s="567">
        <v>1112</v>
      </c>
      <c r="E1801" s="567">
        <v>48</v>
      </c>
      <c r="F1801" s="567">
        <v>1</v>
      </c>
      <c r="G1801" s="567">
        <v>118</v>
      </c>
      <c r="H1801" s="567">
        <v>1170</v>
      </c>
      <c r="O1801"/>
    </row>
    <row r="1802" spans="1:15" x14ac:dyDescent="0.2">
      <c r="A1802" s="567">
        <v>537</v>
      </c>
      <c r="B1802" s="568" t="s">
        <v>761</v>
      </c>
      <c r="C1802" s="568" t="s">
        <v>763</v>
      </c>
      <c r="D1802" s="567">
        <v>1111</v>
      </c>
      <c r="E1802" s="567">
        <v>48</v>
      </c>
      <c r="F1802" s="567">
        <v>1</v>
      </c>
      <c r="G1802" s="567">
        <v>118</v>
      </c>
      <c r="H1802" s="567">
        <v>1170</v>
      </c>
      <c r="O1802"/>
    </row>
    <row r="1803" spans="1:15" x14ac:dyDescent="0.2">
      <c r="A1803" s="567">
        <v>536</v>
      </c>
      <c r="B1803" s="568" t="s">
        <v>761</v>
      </c>
      <c r="C1803" s="568" t="s">
        <v>761</v>
      </c>
      <c r="D1803" s="567">
        <v>1110</v>
      </c>
      <c r="E1803" s="567">
        <v>48</v>
      </c>
      <c r="F1803" s="567">
        <v>1</v>
      </c>
      <c r="G1803" s="567">
        <v>118</v>
      </c>
      <c r="H1803" s="567">
        <v>1170</v>
      </c>
      <c r="O1803"/>
    </row>
    <row r="1804" spans="1:15" x14ac:dyDescent="0.2">
      <c r="A1804" s="567">
        <v>693</v>
      </c>
      <c r="B1804" s="568" t="s">
        <v>650</v>
      </c>
      <c r="C1804" s="568" t="s">
        <v>650</v>
      </c>
      <c r="D1804" s="567">
        <v>1525</v>
      </c>
      <c r="E1804" s="567">
        <v>29</v>
      </c>
      <c r="F1804" s="567">
        <v>2</v>
      </c>
      <c r="G1804" s="567">
        <v>115</v>
      </c>
      <c r="H1804" s="567">
        <v>1161</v>
      </c>
      <c r="O1804"/>
    </row>
    <row r="1805" spans="1:15" x14ac:dyDescent="0.2">
      <c r="A1805" s="567">
        <v>1782</v>
      </c>
      <c r="B1805" s="568" t="s">
        <v>2179</v>
      </c>
      <c r="C1805" s="568" t="s">
        <v>2179</v>
      </c>
      <c r="D1805" s="567">
        <v>4890</v>
      </c>
      <c r="E1805" s="567">
        <v>73</v>
      </c>
      <c r="F1805" s="567">
        <v>3</v>
      </c>
      <c r="G1805" s="567">
        <v>317</v>
      </c>
      <c r="H1805" s="567">
        <v>3140</v>
      </c>
      <c r="O1805"/>
    </row>
    <row r="1806" spans="1:15" x14ac:dyDescent="0.2">
      <c r="A1806" s="567">
        <v>1783</v>
      </c>
      <c r="B1806" s="568" t="s">
        <v>2179</v>
      </c>
      <c r="C1806" s="568" t="s">
        <v>2180</v>
      </c>
      <c r="D1806" s="567">
        <v>4891</v>
      </c>
      <c r="E1806" s="567">
        <v>73</v>
      </c>
      <c r="F1806" s="567">
        <v>3</v>
      </c>
      <c r="G1806" s="567">
        <v>317</v>
      </c>
      <c r="H1806" s="567">
        <v>3140</v>
      </c>
      <c r="O1806"/>
    </row>
    <row r="1807" spans="1:15" x14ac:dyDescent="0.2">
      <c r="A1807" s="567">
        <v>2188</v>
      </c>
      <c r="B1807" s="568" t="s">
        <v>2462</v>
      </c>
      <c r="C1807" s="568" t="s">
        <v>2462</v>
      </c>
      <c r="D1807" s="567">
        <v>6285</v>
      </c>
      <c r="E1807" s="567">
        <v>33</v>
      </c>
      <c r="F1807" s="567">
        <v>15</v>
      </c>
      <c r="G1807" s="567">
        <v>327</v>
      </c>
      <c r="H1807" s="567">
        <v>3170</v>
      </c>
      <c r="O1807"/>
    </row>
    <row r="1808" spans="1:15" x14ac:dyDescent="0.2">
      <c r="A1808" s="567">
        <v>330</v>
      </c>
      <c r="B1808" s="568" t="s">
        <v>1036</v>
      </c>
      <c r="C1808" s="568" t="s">
        <v>1035</v>
      </c>
      <c r="D1808" s="567">
        <v>557</v>
      </c>
      <c r="E1808" s="567">
        <v>52</v>
      </c>
      <c r="F1808" s="567">
        <v>19</v>
      </c>
      <c r="G1808" s="567">
        <v>127</v>
      </c>
      <c r="H1808" s="567">
        <v>1200</v>
      </c>
      <c r="O1808"/>
    </row>
    <row r="1809" spans="1:15" x14ac:dyDescent="0.2">
      <c r="A1809" s="567">
        <v>328</v>
      </c>
      <c r="B1809" s="568" t="s">
        <v>1036</v>
      </c>
      <c r="C1809" s="568" t="s">
        <v>1036</v>
      </c>
      <c r="D1809" s="567">
        <v>555</v>
      </c>
      <c r="E1809" s="567">
        <v>52</v>
      </c>
      <c r="F1809" s="567">
        <v>19</v>
      </c>
      <c r="G1809" s="567">
        <v>127</v>
      </c>
      <c r="H1809" s="567">
        <v>1200</v>
      </c>
      <c r="O1809"/>
    </row>
    <row r="1810" spans="1:15" x14ac:dyDescent="0.2">
      <c r="A1810" s="567">
        <v>329</v>
      </c>
      <c r="B1810" s="568" t="s">
        <v>1036</v>
      </c>
      <c r="C1810" s="568" t="s">
        <v>1076</v>
      </c>
      <c r="D1810" s="567">
        <v>556</v>
      </c>
      <c r="E1810" s="567">
        <v>52</v>
      </c>
      <c r="F1810" s="567">
        <v>19</v>
      </c>
      <c r="G1810" s="567">
        <v>127</v>
      </c>
      <c r="H1810" s="567">
        <v>1200</v>
      </c>
      <c r="O1810"/>
    </row>
    <row r="1811" spans="1:15" x14ac:dyDescent="0.2">
      <c r="A1811" s="567">
        <v>331</v>
      </c>
      <c r="B1811" s="568" t="s">
        <v>1036</v>
      </c>
      <c r="C1811" s="568" t="s">
        <v>1077</v>
      </c>
      <c r="D1811" s="567">
        <v>558</v>
      </c>
      <c r="E1811" s="567">
        <v>52</v>
      </c>
      <c r="F1811" s="567">
        <v>19</v>
      </c>
      <c r="G1811" s="567">
        <v>127</v>
      </c>
      <c r="H1811" s="567">
        <v>1200</v>
      </c>
      <c r="O1811"/>
    </row>
    <row r="1812" spans="1:15" x14ac:dyDescent="0.2">
      <c r="A1812" s="567">
        <v>332</v>
      </c>
      <c r="B1812" s="568" t="s">
        <v>1036</v>
      </c>
      <c r="C1812" s="568" t="s">
        <v>1078</v>
      </c>
      <c r="D1812" s="567">
        <v>559</v>
      </c>
      <c r="E1812" s="567">
        <v>52</v>
      </c>
      <c r="F1812" s="567">
        <v>19</v>
      </c>
      <c r="G1812" s="567">
        <v>127</v>
      </c>
      <c r="H1812" s="567">
        <v>1200</v>
      </c>
      <c r="O1812"/>
    </row>
    <row r="1813" spans="1:15" x14ac:dyDescent="0.2">
      <c r="A1813" s="567">
        <v>2505</v>
      </c>
      <c r="B1813" s="568" t="s">
        <v>2107</v>
      </c>
      <c r="C1813" s="568" t="s">
        <v>2106</v>
      </c>
      <c r="D1813" s="567">
        <v>7201</v>
      </c>
      <c r="E1813" s="567">
        <v>104</v>
      </c>
      <c r="F1813" s="567">
        <v>5</v>
      </c>
      <c r="G1813" s="567">
        <v>336</v>
      </c>
      <c r="H1813" s="567">
        <v>3130</v>
      </c>
      <c r="O1813"/>
    </row>
    <row r="1814" spans="1:15" x14ac:dyDescent="0.2">
      <c r="A1814" s="567">
        <v>2504</v>
      </c>
      <c r="B1814" s="568" t="s">
        <v>2107</v>
      </c>
      <c r="C1814" s="568" t="s">
        <v>2108</v>
      </c>
      <c r="D1814" s="567">
        <v>7200</v>
      </c>
      <c r="E1814" s="567">
        <v>104</v>
      </c>
      <c r="F1814" s="567">
        <v>5</v>
      </c>
      <c r="G1814" s="567">
        <v>336</v>
      </c>
      <c r="H1814" s="567">
        <v>3130</v>
      </c>
      <c r="O1814"/>
    </row>
    <row r="1815" spans="1:15" x14ac:dyDescent="0.2">
      <c r="A1815" s="567">
        <v>1329</v>
      </c>
      <c r="B1815" s="568" t="s">
        <v>1307</v>
      </c>
      <c r="C1815" s="568" t="s">
        <v>234</v>
      </c>
      <c r="D1815" s="567">
        <v>3601</v>
      </c>
      <c r="E1815" s="567">
        <v>46</v>
      </c>
      <c r="F1815" s="567">
        <v>3</v>
      </c>
      <c r="G1815" s="567">
        <v>215</v>
      </c>
      <c r="H1815" s="567">
        <v>2121</v>
      </c>
      <c r="O1815"/>
    </row>
    <row r="1816" spans="1:15" x14ac:dyDescent="0.2">
      <c r="A1816" s="567">
        <v>1330</v>
      </c>
      <c r="B1816" s="568" t="s">
        <v>1307</v>
      </c>
      <c r="C1816" s="568" t="s">
        <v>1321</v>
      </c>
      <c r="D1816" s="567">
        <v>3602</v>
      </c>
      <c r="E1816" s="567">
        <v>46</v>
      </c>
      <c r="F1816" s="567">
        <v>3</v>
      </c>
      <c r="G1816" s="567">
        <v>215</v>
      </c>
      <c r="H1816" s="567">
        <v>2121</v>
      </c>
      <c r="O1816"/>
    </row>
    <row r="1817" spans="1:15" x14ac:dyDescent="0.2">
      <c r="A1817" s="567">
        <v>1331</v>
      </c>
      <c r="B1817" s="568" t="s">
        <v>1307</v>
      </c>
      <c r="C1817" s="568" t="s">
        <v>1322</v>
      </c>
      <c r="D1817" s="567">
        <v>3603</v>
      </c>
      <c r="E1817" s="567">
        <v>46</v>
      </c>
      <c r="F1817" s="567">
        <v>3</v>
      </c>
      <c r="G1817" s="567">
        <v>215</v>
      </c>
      <c r="H1817" s="567">
        <v>2121</v>
      </c>
      <c r="O1817"/>
    </row>
    <row r="1818" spans="1:15" x14ac:dyDescent="0.2">
      <c r="A1818" s="567">
        <v>1328</v>
      </c>
      <c r="B1818" s="568" t="s">
        <v>1307</v>
      </c>
      <c r="C1818" s="568" t="s">
        <v>1307</v>
      </c>
      <c r="D1818" s="567">
        <v>3600</v>
      </c>
      <c r="E1818" s="567">
        <v>46</v>
      </c>
      <c r="F1818" s="567">
        <v>3</v>
      </c>
      <c r="G1818" s="567">
        <v>215</v>
      </c>
      <c r="H1818" s="567">
        <v>2121</v>
      </c>
      <c r="O1818"/>
    </row>
    <row r="1819" spans="1:15" x14ac:dyDescent="0.2">
      <c r="A1819" s="567">
        <v>1215</v>
      </c>
      <c r="B1819" s="568" t="s">
        <v>1307</v>
      </c>
      <c r="C1819" s="568" t="s">
        <v>1307</v>
      </c>
      <c r="D1819" s="567">
        <v>3260</v>
      </c>
      <c r="E1819" s="567">
        <v>46</v>
      </c>
      <c r="F1819" s="567">
        <v>3</v>
      </c>
      <c r="G1819" s="567">
        <v>226</v>
      </c>
      <c r="H1819" s="567">
        <v>2130</v>
      </c>
      <c r="O1819"/>
    </row>
    <row r="1820" spans="1:15" x14ac:dyDescent="0.2">
      <c r="A1820" s="567">
        <v>1842</v>
      </c>
      <c r="B1820" s="568" t="s">
        <v>1856</v>
      </c>
      <c r="C1820" s="568" t="s">
        <v>1856</v>
      </c>
      <c r="D1820" s="567">
        <v>5140</v>
      </c>
      <c r="E1820" s="567">
        <v>24</v>
      </c>
      <c r="F1820" s="567">
        <v>3</v>
      </c>
      <c r="G1820" s="567">
        <v>316</v>
      </c>
      <c r="H1820" s="567">
        <v>3110</v>
      </c>
      <c r="O1820"/>
    </row>
    <row r="1821" spans="1:15" x14ac:dyDescent="0.2">
      <c r="A1821" s="567">
        <v>1235</v>
      </c>
      <c r="B1821" s="568" t="s">
        <v>1427</v>
      </c>
      <c r="C1821" s="568" t="s">
        <v>1427</v>
      </c>
      <c r="D1821" s="567">
        <v>3310</v>
      </c>
      <c r="E1821" s="567">
        <v>0</v>
      </c>
      <c r="F1821" s="567">
        <v>3</v>
      </c>
      <c r="G1821" s="567">
        <v>222</v>
      </c>
      <c r="H1821" s="567">
        <v>2130</v>
      </c>
      <c r="O1821"/>
    </row>
    <row r="1822" spans="1:15" x14ac:dyDescent="0.2">
      <c r="A1822" s="567">
        <v>513</v>
      </c>
      <c r="B1822" s="568" t="s">
        <v>787</v>
      </c>
      <c r="C1822" s="568" t="s">
        <v>786</v>
      </c>
      <c r="D1822" s="567">
        <v>1031</v>
      </c>
      <c r="E1822" s="567">
        <v>49</v>
      </c>
      <c r="F1822" s="567">
        <v>1</v>
      </c>
      <c r="G1822" s="567">
        <v>118</v>
      </c>
      <c r="H1822" s="567">
        <v>1170</v>
      </c>
      <c r="O1822"/>
    </row>
    <row r="1823" spans="1:15" x14ac:dyDescent="0.2">
      <c r="A1823" s="567">
        <v>512</v>
      </c>
      <c r="B1823" s="568" t="s">
        <v>787</v>
      </c>
      <c r="C1823" s="568" t="s">
        <v>358</v>
      </c>
      <c r="D1823" s="567">
        <v>1030</v>
      </c>
      <c r="E1823" s="567">
        <v>49</v>
      </c>
      <c r="F1823" s="567">
        <v>1</v>
      </c>
      <c r="G1823" s="567">
        <v>118</v>
      </c>
      <c r="H1823" s="567">
        <v>1170</v>
      </c>
      <c r="O1823"/>
    </row>
    <row r="1824" spans="1:15" x14ac:dyDescent="0.2">
      <c r="A1824" s="567">
        <v>1888</v>
      </c>
      <c r="B1824" s="568" t="s">
        <v>1914</v>
      </c>
      <c r="C1824" s="568" t="s">
        <v>415</v>
      </c>
      <c r="D1824" s="567">
        <v>5291</v>
      </c>
      <c r="E1824" s="567">
        <v>132</v>
      </c>
      <c r="F1824" s="567">
        <v>3</v>
      </c>
      <c r="G1824" s="567">
        <v>315</v>
      </c>
      <c r="H1824" s="567">
        <v>3120</v>
      </c>
      <c r="O1824"/>
    </row>
    <row r="1825" spans="1:15" x14ac:dyDescent="0.2">
      <c r="A1825" s="567">
        <v>1887</v>
      </c>
      <c r="B1825" s="568" t="s">
        <v>1914</v>
      </c>
      <c r="C1825" s="568" t="s">
        <v>1925</v>
      </c>
      <c r="D1825" s="567">
        <v>5290</v>
      </c>
      <c r="E1825" s="567">
        <v>132</v>
      </c>
      <c r="F1825" s="567">
        <v>3</v>
      </c>
      <c r="G1825" s="567">
        <v>315</v>
      </c>
      <c r="H1825" s="567">
        <v>3120</v>
      </c>
      <c r="O1825"/>
    </row>
    <row r="1826" spans="1:15" x14ac:dyDescent="0.2">
      <c r="A1826" s="567">
        <v>1889</v>
      </c>
      <c r="B1826" s="568" t="s">
        <v>1914</v>
      </c>
      <c r="C1826" s="568" t="s">
        <v>1927</v>
      </c>
      <c r="D1826" s="567">
        <v>5292</v>
      </c>
      <c r="E1826" s="567">
        <v>132</v>
      </c>
      <c r="F1826" s="567">
        <v>3</v>
      </c>
      <c r="G1826" s="567">
        <v>315</v>
      </c>
      <c r="H1826" s="567">
        <v>3120</v>
      </c>
      <c r="O1826"/>
    </row>
    <row r="1827" spans="1:15" x14ac:dyDescent="0.2">
      <c r="A1827" s="567">
        <v>1890</v>
      </c>
      <c r="B1827" s="568" t="s">
        <v>1914</v>
      </c>
      <c r="C1827" s="568" t="s">
        <v>1928</v>
      </c>
      <c r="D1827" s="567">
        <v>5293</v>
      </c>
      <c r="E1827" s="567">
        <v>132</v>
      </c>
      <c r="F1827" s="567">
        <v>3</v>
      </c>
      <c r="G1827" s="567">
        <v>315</v>
      </c>
      <c r="H1827" s="567">
        <v>3120</v>
      </c>
      <c r="O1827"/>
    </row>
    <row r="1828" spans="1:15" x14ac:dyDescent="0.2">
      <c r="A1828" s="567">
        <v>3358</v>
      </c>
      <c r="B1828" s="568" t="s">
        <v>3162</v>
      </c>
      <c r="C1828" s="568" t="s">
        <v>3162</v>
      </c>
      <c r="D1828" s="567">
        <v>9810</v>
      </c>
      <c r="E1828" s="567">
        <v>34</v>
      </c>
      <c r="F1828" s="567">
        <v>4</v>
      </c>
      <c r="G1828" s="567">
        <v>435</v>
      </c>
      <c r="H1828" s="567">
        <v>4160</v>
      </c>
      <c r="O1828"/>
    </row>
    <row r="1829" spans="1:15" x14ac:dyDescent="0.2">
      <c r="A1829" s="567">
        <v>3359</v>
      </c>
      <c r="B1829" s="568" t="s">
        <v>3162</v>
      </c>
      <c r="C1829" s="568" t="s">
        <v>3168</v>
      </c>
      <c r="D1829" s="567">
        <v>9811</v>
      </c>
      <c r="E1829" s="567">
        <v>34</v>
      </c>
      <c r="F1829" s="567">
        <v>4</v>
      </c>
      <c r="G1829" s="567">
        <v>435</v>
      </c>
      <c r="H1829" s="567">
        <v>4160</v>
      </c>
      <c r="O1829"/>
    </row>
    <row r="1830" spans="1:15" x14ac:dyDescent="0.2">
      <c r="A1830" s="567">
        <v>3360</v>
      </c>
      <c r="B1830" s="568" t="s">
        <v>3162</v>
      </c>
      <c r="C1830" s="568" t="s">
        <v>2336</v>
      </c>
      <c r="D1830" s="567">
        <v>9812</v>
      </c>
      <c r="E1830" s="567">
        <v>34</v>
      </c>
      <c r="F1830" s="567">
        <v>4</v>
      </c>
      <c r="G1830" s="567">
        <v>435</v>
      </c>
      <c r="H1830" s="567">
        <v>4160</v>
      </c>
      <c r="O1830"/>
    </row>
    <row r="1831" spans="1:15" x14ac:dyDescent="0.2">
      <c r="A1831" s="567">
        <v>534</v>
      </c>
      <c r="B1831" s="568" t="s">
        <v>732</v>
      </c>
      <c r="C1831" s="568" t="s">
        <v>732</v>
      </c>
      <c r="D1831" s="567">
        <v>1095</v>
      </c>
      <c r="E1831" s="567">
        <v>50</v>
      </c>
      <c r="F1831" s="567">
        <v>1</v>
      </c>
      <c r="G1831" s="567">
        <v>118</v>
      </c>
      <c r="H1831" s="567">
        <v>1170</v>
      </c>
      <c r="O1831"/>
    </row>
    <row r="1832" spans="1:15" x14ac:dyDescent="0.2">
      <c r="A1832" s="567">
        <v>1332</v>
      </c>
      <c r="B1832" s="568" t="s">
        <v>1324</v>
      </c>
      <c r="C1832" s="568" t="s">
        <v>1323</v>
      </c>
      <c r="D1832" s="567">
        <v>3610</v>
      </c>
      <c r="E1832" s="567">
        <v>47</v>
      </c>
      <c r="F1832" s="567">
        <v>17</v>
      </c>
      <c r="G1832" s="567">
        <v>215</v>
      </c>
      <c r="H1832" s="567">
        <v>2121</v>
      </c>
      <c r="O1832"/>
    </row>
    <row r="1833" spans="1:15" x14ac:dyDescent="0.2">
      <c r="A1833" s="567">
        <v>1333</v>
      </c>
      <c r="B1833" s="568" t="s">
        <v>1324</v>
      </c>
      <c r="C1833" s="568" t="s">
        <v>1325</v>
      </c>
      <c r="D1833" s="567">
        <v>3611</v>
      </c>
      <c r="E1833" s="567">
        <v>47</v>
      </c>
      <c r="F1833" s="567">
        <v>17</v>
      </c>
      <c r="G1833" s="567">
        <v>215</v>
      </c>
      <c r="H1833" s="567">
        <v>2121</v>
      </c>
      <c r="O1833"/>
    </row>
    <row r="1834" spans="1:15" x14ac:dyDescent="0.2">
      <c r="A1834" s="567">
        <v>1334</v>
      </c>
      <c r="B1834" s="568" t="s">
        <v>1324</v>
      </c>
      <c r="C1834" s="568" t="s">
        <v>1326</v>
      </c>
      <c r="D1834" s="567">
        <v>3612</v>
      </c>
      <c r="E1834" s="567">
        <v>47</v>
      </c>
      <c r="F1834" s="567">
        <v>17</v>
      </c>
      <c r="G1834" s="567">
        <v>215</v>
      </c>
      <c r="H1834" s="567">
        <v>2121</v>
      </c>
      <c r="O1834"/>
    </row>
    <row r="1835" spans="1:15" x14ac:dyDescent="0.2">
      <c r="A1835" s="567">
        <v>3051</v>
      </c>
      <c r="B1835" s="568" t="s">
        <v>2773</v>
      </c>
      <c r="C1835" s="568" t="s">
        <v>2773</v>
      </c>
      <c r="D1835" s="567">
        <v>8800</v>
      </c>
      <c r="E1835" s="567">
        <v>71</v>
      </c>
      <c r="F1835" s="567">
        <v>11</v>
      </c>
      <c r="G1835" s="567">
        <v>426</v>
      </c>
      <c r="H1835" s="567">
        <v>4110</v>
      </c>
      <c r="O1835"/>
    </row>
    <row r="1836" spans="1:15" x14ac:dyDescent="0.2">
      <c r="A1836" s="567">
        <v>3052</v>
      </c>
      <c r="B1836" s="568" t="s">
        <v>2773</v>
      </c>
      <c r="C1836" s="568" t="s">
        <v>2774</v>
      </c>
      <c r="D1836" s="567">
        <v>8801</v>
      </c>
      <c r="E1836" s="567">
        <v>71</v>
      </c>
      <c r="F1836" s="567">
        <v>11</v>
      </c>
      <c r="G1836" s="567">
        <v>426</v>
      </c>
      <c r="H1836" s="567">
        <v>4110</v>
      </c>
      <c r="O1836"/>
    </row>
    <row r="1837" spans="1:15" x14ac:dyDescent="0.2">
      <c r="A1837" s="567">
        <v>3053</v>
      </c>
      <c r="B1837" s="568" t="s">
        <v>2773</v>
      </c>
      <c r="C1837" s="568" t="s">
        <v>2777</v>
      </c>
      <c r="D1837" s="567">
        <v>8802</v>
      </c>
      <c r="E1837" s="567">
        <v>71</v>
      </c>
      <c r="F1837" s="567">
        <v>11</v>
      </c>
      <c r="G1837" s="567">
        <v>426</v>
      </c>
      <c r="H1837" s="567">
        <v>4110</v>
      </c>
      <c r="O1837"/>
    </row>
    <row r="1838" spans="1:15" x14ac:dyDescent="0.2">
      <c r="A1838" s="567">
        <v>3054</v>
      </c>
      <c r="B1838" s="568" t="s">
        <v>2773</v>
      </c>
      <c r="C1838" s="568" t="s">
        <v>2780</v>
      </c>
      <c r="D1838" s="567">
        <v>8803</v>
      </c>
      <c r="E1838" s="567">
        <v>71</v>
      </c>
      <c r="F1838" s="567">
        <v>11</v>
      </c>
      <c r="G1838" s="567">
        <v>426</v>
      </c>
      <c r="H1838" s="567">
        <v>4110</v>
      </c>
      <c r="O1838"/>
    </row>
    <row r="1839" spans="1:15" x14ac:dyDescent="0.2">
      <c r="A1839" s="567">
        <v>412</v>
      </c>
      <c r="B1839" s="568" t="s">
        <v>627</v>
      </c>
      <c r="C1839" s="568" t="s">
        <v>627</v>
      </c>
      <c r="D1839" s="567">
        <v>760</v>
      </c>
      <c r="E1839" s="567">
        <v>61</v>
      </c>
      <c r="F1839" s="567">
        <v>1</v>
      </c>
      <c r="G1839" s="567">
        <v>125</v>
      </c>
      <c r="H1839" s="567">
        <v>1150</v>
      </c>
      <c r="O1839"/>
    </row>
    <row r="1840" spans="1:15" x14ac:dyDescent="0.2">
      <c r="A1840" s="567">
        <v>1186</v>
      </c>
      <c r="B1840" s="568" t="s">
        <v>1433</v>
      </c>
      <c r="C1840" s="568" t="s">
        <v>1433</v>
      </c>
      <c r="D1840" s="567">
        <v>3140</v>
      </c>
      <c r="E1840" s="567">
        <v>48</v>
      </c>
      <c r="F1840" s="567">
        <v>2</v>
      </c>
      <c r="G1840" s="567">
        <v>226</v>
      </c>
      <c r="H1840" s="567">
        <v>2130</v>
      </c>
      <c r="O1840"/>
    </row>
    <row r="1841" spans="1:15" x14ac:dyDescent="0.2">
      <c r="A1841" s="567">
        <v>1418</v>
      </c>
      <c r="B1841" s="568" t="s">
        <v>1634</v>
      </c>
      <c r="C1841" s="568" t="s">
        <v>1634</v>
      </c>
      <c r="D1841" s="567">
        <v>3870</v>
      </c>
      <c r="E1841" s="567">
        <v>38</v>
      </c>
      <c r="F1841" s="567">
        <v>2</v>
      </c>
      <c r="G1841" s="567">
        <v>236</v>
      </c>
      <c r="H1841" s="567">
        <v>2150</v>
      </c>
      <c r="O1841"/>
    </row>
    <row r="1842" spans="1:15" x14ac:dyDescent="0.2">
      <c r="A1842" s="567">
        <v>1419</v>
      </c>
      <c r="B1842" s="568" t="s">
        <v>1634</v>
      </c>
      <c r="C1842" s="568" t="s">
        <v>1635</v>
      </c>
      <c r="D1842" s="567">
        <v>3871</v>
      </c>
      <c r="E1842" s="567">
        <v>38</v>
      </c>
      <c r="F1842" s="567">
        <v>2</v>
      </c>
      <c r="G1842" s="567">
        <v>236</v>
      </c>
      <c r="H1842" s="567">
        <v>2150</v>
      </c>
      <c r="O1842"/>
    </row>
    <row r="1843" spans="1:15" x14ac:dyDescent="0.2">
      <c r="A1843" s="567">
        <v>1420</v>
      </c>
      <c r="B1843" s="568" t="s">
        <v>1634</v>
      </c>
      <c r="C1843" s="568" t="s">
        <v>1636</v>
      </c>
      <c r="D1843" s="567">
        <v>3872</v>
      </c>
      <c r="E1843" s="567">
        <v>38</v>
      </c>
      <c r="F1843" s="567">
        <v>2</v>
      </c>
      <c r="G1843" s="567">
        <v>236</v>
      </c>
      <c r="H1843" s="567">
        <v>2150</v>
      </c>
      <c r="O1843"/>
    </row>
    <row r="1844" spans="1:15" x14ac:dyDescent="0.2">
      <c r="A1844" s="567">
        <v>2532</v>
      </c>
      <c r="B1844" s="568" t="s">
        <v>2026</v>
      </c>
      <c r="C1844" s="568" t="s">
        <v>2026</v>
      </c>
      <c r="D1844" s="567">
        <v>7270</v>
      </c>
      <c r="E1844" s="567">
        <v>57</v>
      </c>
      <c r="F1844" s="567">
        <v>5</v>
      </c>
      <c r="G1844" s="567">
        <v>336</v>
      </c>
      <c r="H1844" s="567">
        <v>3130</v>
      </c>
      <c r="O1844"/>
    </row>
    <row r="1845" spans="1:15" x14ac:dyDescent="0.2">
      <c r="A1845" s="567">
        <v>3379</v>
      </c>
      <c r="B1845" s="568" t="s">
        <v>3144</v>
      </c>
      <c r="C1845" s="568" t="s">
        <v>3143</v>
      </c>
      <c r="D1845" s="567">
        <v>9911</v>
      </c>
      <c r="E1845" s="567">
        <v>35</v>
      </c>
      <c r="F1845" s="567">
        <v>9</v>
      </c>
      <c r="G1845" s="567">
        <v>435</v>
      </c>
      <c r="H1845" s="567">
        <v>4160</v>
      </c>
      <c r="O1845"/>
    </row>
    <row r="1846" spans="1:15" x14ac:dyDescent="0.2">
      <c r="A1846" s="567">
        <v>3378</v>
      </c>
      <c r="B1846" s="568" t="s">
        <v>3144</v>
      </c>
      <c r="C1846" s="568" t="s">
        <v>3144</v>
      </c>
      <c r="D1846" s="567">
        <v>9910</v>
      </c>
      <c r="E1846" s="567">
        <v>35</v>
      </c>
      <c r="F1846" s="567">
        <v>9</v>
      </c>
      <c r="G1846" s="567">
        <v>435</v>
      </c>
      <c r="H1846" s="567">
        <v>4160</v>
      </c>
      <c r="O1846"/>
    </row>
    <row r="1847" spans="1:15" x14ac:dyDescent="0.2">
      <c r="A1847" s="567">
        <v>1187</v>
      </c>
      <c r="B1847" s="568" t="s">
        <v>1434</v>
      </c>
      <c r="C1847" s="568" t="s">
        <v>1434</v>
      </c>
      <c r="D1847" s="567">
        <v>3145</v>
      </c>
      <c r="E1847" s="567">
        <v>49</v>
      </c>
      <c r="F1847" s="567">
        <v>2</v>
      </c>
      <c r="G1847" s="567">
        <v>226</v>
      </c>
      <c r="H1847" s="567">
        <v>2130</v>
      </c>
      <c r="O1847"/>
    </row>
    <row r="1848" spans="1:15" x14ac:dyDescent="0.2">
      <c r="A1848" s="567">
        <v>1188</v>
      </c>
      <c r="B1848" s="568" t="s">
        <v>1434</v>
      </c>
      <c r="C1848" s="568" t="s">
        <v>1435</v>
      </c>
      <c r="D1848" s="567">
        <v>3146</v>
      </c>
      <c r="E1848" s="567">
        <v>49</v>
      </c>
      <c r="F1848" s="567">
        <v>2</v>
      </c>
      <c r="G1848" s="567">
        <v>226</v>
      </c>
      <c r="H1848" s="567">
        <v>2130</v>
      </c>
      <c r="O1848"/>
    </row>
    <row r="1849" spans="1:15" x14ac:dyDescent="0.2">
      <c r="A1849" s="567">
        <v>3368</v>
      </c>
      <c r="B1849" s="568" t="s">
        <v>3164</v>
      </c>
      <c r="C1849" s="568" t="s">
        <v>3163</v>
      </c>
      <c r="D1849" s="567">
        <v>9851</v>
      </c>
      <c r="E1849" s="567">
        <v>36</v>
      </c>
      <c r="F1849" s="567">
        <v>4</v>
      </c>
      <c r="G1849" s="567">
        <v>435</v>
      </c>
      <c r="H1849" s="567">
        <v>4160</v>
      </c>
      <c r="O1849"/>
    </row>
    <row r="1850" spans="1:15" x14ac:dyDescent="0.2">
      <c r="A1850" s="567">
        <v>3367</v>
      </c>
      <c r="B1850" s="568" t="s">
        <v>3164</v>
      </c>
      <c r="C1850" s="568" t="s">
        <v>3164</v>
      </c>
      <c r="D1850" s="567">
        <v>9850</v>
      </c>
      <c r="E1850" s="567">
        <v>36</v>
      </c>
      <c r="F1850" s="567">
        <v>4</v>
      </c>
      <c r="G1850" s="567">
        <v>435</v>
      </c>
      <c r="H1850" s="567">
        <v>4160</v>
      </c>
      <c r="O1850"/>
    </row>
    <row r="1851" spans="1:15" x14ac:dyDescent="0.2">
      <c r="A1851" s="567">
        <v>2701</v>
      </c>
      <c r="B1851" s="568" t="s">
        <v>2897</v>
      </c>
      <c r="C1851" s="568" t="s">
        <v>2897</v>
      </c>
      <c r="D1851" s="567">
        <v>7770</v>
      </c>
      <c r="E1851" s="567">
        <v>48</v>
      </c>
      <c r="F1851" s="567">
        <v>14</v>
      </c>
      <c r="G1851" s="567">
        <v>415</v>
      </c>
      <c r="H1851" s="567">
        <v>4131</v>
      </c>
      <c r="O1851"/>
    </row>
    <row r="1852" spans="1:15" x14ac:dyDescent="0.2">
      <c r="A1852" s="567">
        <v>1767</v>
      </c>
      <c r="B1852" s="568" t="s">
        <v>2118</v>
      </c>
      <c r="C1852" s="568" t="s">
        <v>2117</v>
      </c>
      <c r="D1852" s="567">
        <v>4851</v>
      </c>
      <c r="E1852" s="567">
        <v>75</v>
      </c>
      <c r="F1852" s="567">
        <v>3</v>
      </c>
      <c r="G1852" s="567">
        <v>317</v>
      </c>
      <c r="H1852" s="567">
        <v>3140</v>
      </c>
      <c r="O1852"/>
    </row>
    <row r="1853" spans="1:15" x14ac:dyDescent="0.2">
      <c r="A1853" s="567">
        <v>1766</v>
      </c>
      <c r="B1853" s="568" t="s">
        <v>2118</v>
      </c>
      <c r="C1853" s="568" t="s">
        <v>2118</v>
      </c>
      <c r="D1853" s="567">
        <v>4850</v>
      </c>
      <c r="E1853" s="567">
        <v>75</v>
      </c>
      <c r="F1853" s="567">
        <v>3</v>
      </c>
      <c r="G1853" s="567">
        <v>317</v>
      </c>
      <c r="H1853" s="567">
        <v>3140</v>
      </c>
      <c r="O1853"/>
    </row>
    <row r="1854" spans="1:15" x14ac:dyDescent="0.2">
      <c r="A1854" s="567">
        <v>3159</v>
      </c>
      <c r="B1854" s="568" t="s">
        <v>1943</v>
      </c>
      <c r="C1854" s="568" t="s">
        <v>838</v>
      </c>
      <c r="D1854" s="567">
        <v>9141</v>
      </c>
      <c r="E1854" s="567">
        <v>76</v>
      </c>
      <c r="F1854" s="567">
        <v>11</v>
      </c>
      <c r="G1854" s="567">
        <v>437</v>
      </c>
      <c r="H1854" s="567">
        <v>4151</v>
      </c>
      <c r="O1854"/>
    </row>
    <row r="1855" spans="1:15" x14ac:dyDescent="0.2">
      <c r="A1855" s="567">
        <v>3158</v>
      </c>
      <c r="B1855" s="568" t="s">
        <v>1943</v>
      </c>
      <c r="C1855" s="568" t="s">
        <v>1943</v>
      </c>
      <c r="D1855" s="567">
        <v>9140</v>
      </c>
      <c r="E1855" s="567">
        <v>76</v>
      </c>
      <c r="F1855" s="567">
        <v>11</v>
      </c>
      <c r="G1855" s="567">
        <v>437</v>
      </c>
      <c r="H1855" s="567">
        <v>4151</v>
      </c>
      <c r="O1855"/>
    </row>
    <row r="1856" spans="1:15" x14ac:dyDescent="0.2">
      <c r="A1856" s="567">
        <v>3163</v>
      </c>
      <c r="B1856" s="568" t="s">
        <v>1943</v>
      </c>
      <c r="C1856" s="568" t="s">
        <v>3040</v>
      </c>
      <c r="D1856" s="567">
        <v>9145</v>
      </c>
      <c r="E1856" s="567">
        <v>76</v>
      </c>
      <c r="F1856" s="567">
        <v>11</v>
      </c>
      <c r="G1856" s="567">
        <v>437</v>
      </c>
      <c r="H1856" s="567">
        <v>4151</v>
      </c>
      <c r="O1856"/>
    </row>
    <row r="1857" spans="1:15" x14ac:dyDescent="0.2">
      <c r="A1857" s="567">
        <v>3162</v>
      </c>
      <c r="B1857" s="568" t="s">
        <v>1943</v>
      </c>
      <c r="C1857" s="568" t="s">
        <v>3041</v>
      </c>
      <c r="D1857" s="567">
        <v>9144</v>
      </c>
      <c r="E1857" s="567">
        <v>76</v>
      </c>
      <c r="F1857" s="567">
        <v>11</v>
      </c>
      <c r="G1857" s="567">
        <v>437</v>
      </c>
      <c r="H1857" s="567">
        <v>4151</v>
      </c>
      <c r="O1857"/>
    </row>
    <row r="1858" spans="1:15" x14ac:dyDescent="0.2">
      <c r="A1858" s="567">
        <v>3161</v>
      </c>
      <c r="B1858" s="568" t="s">
        <v>1943</v>
      </c>
      <c r="C1858" s="568" t="s">
        <v>3042</v>
      </c>
      <c r="D1858" s="567">
        <v>9143</v>
      </c>
      <c r="E1858" s="567">
        <v>76</v>
      </c>
      <c r="F1858" s="567">
        <v>11</v>
      </c>
      <c r="G1858" s="567">
        <v>437</v>
      </c>
      <c r="H1858" s="567">
        <v>4151</v>
      </c>
      <c r="O1858"/>
    </row>
    <row r="1859" spans="1:15" x14ac:dyDescent="0.2">
      <c r="A1859" s="567">
        <v>3160</v>
      </c>
      <c r="B1859" s="568" t="s">
        <v>1943</v>
      </c>
      <c r="C1859" s="568" t="s">
        <v>3043</v>
      </c>
      <c r="D1859" s="567">
        <v>9142</v>
      </c>
      <c r="E1859" s="567">
        <v>76</v>
      </c>
      <c r="F1859" s="567">
        <v>11</v>
      </c>
      <c r="G1859" s="567">
        <v>437</v>
      </c>
      <c r="H1859" s="567">
        <v>4151</v>
      </c>
      <c r="O1859"/>
    </row>
    <row r="1860" spans="1:15" x14ac:dyDescent="0.2">
      <c r="A1860" s="567">
        <v>1898</v>
      </c>
      <c r="B1860" s="568" t="s">
        <v>1953</v>
      </c>
      <c r="C1860" s="568" t="s">
        <v>1953</v>
      </c>
      <c r="D1860" s="567">
        <v>5330</v>
      </c>
      <c r="E1860" s="567">
        <v>72</v>
      </c>
      <c r="F1860" s="567">
        <v>3</v>
      </c>
      <c r="G1860" s="567">
        <v>315</v>
      </c>
      <c r="H1860" s="567">
        <v>3120</v>
      </c>
      <c r="O1860"/>
    </row>
    <row r="1861" spans="1:15" x14ac:dyDescent="0.2">
      <c r="A1861" s="567">
        <v>2861</v>
      </c>
      <c r="B1861" s="568" t="s">
        <v>662</v>
      </c>
      <c r="C1861" s="568" t="s">
        <v>662</v>
      </c>
      <c r="D1861" s="567">
        <v>8250</v>
      </c>
      <c r="E1861" s="567">
        <v>79</v>
      </c>
      <c r="F1861" s="567">
        <v>14</v>
      </c>
      <c r="G1861" s="567">
        <v>425</v>
      </c>
      <c r="H1861" s="567">
        <v>4170</v>
      </c>
      <c r="O1861"/>
    </row>
    <row r="1862" spans="1:15" x14ac:dyDescent="0.2">
      <c r="A1862" s="567">
        <v>1913</v>
      </c>
      <c r="B1862" s="568" t="s">
        <v>1939</v>
      </c>
      <c r="C1862" s="568" t="s">
        <v>1939</v>
      </c>
      <c r="D1862" s="567">
        <v>5390</v>
      </c>
      <c r="E1862" s="567">
        <v>73</v>
      </c>
      <c r="F1862" s="567">
        <v>3</v>
      </c>
      <c r="G1862" s="567">
        <v>315</v>
      </c>
      <c r="H1862" s="567">
        <v>3120</v>
      </c>
      <c r="O1862"/>
    </row>
    <row r="1863" spans="1:15" x14ac:dyDescent="0.2">
      <c r="A1863" s="567">
        <v>3148</v>
      </c>
      <c r="B1863" s="568" t="s">
        <v>3020</v>
      </c>
      <c r="C1863" s="568" t="s">
        <v>3019</v>
      </c>
      <c r="D1863" s="567">
        <v>9107</v>
      </c>
      <c r="E1863" s="567">
        <v>78</v>
      </c>
      <c r="F1863" s="567">
        <v>11</v>
      </c>
      <c r="G1863" s="567">
        <v>437</v>
      </c>
      <c r="H1863" s="567">
        <v>4151</v>
      </c>
      <c r="O1863"/>
    </row>
    <row r="1864" spans="1:15" x14ac:dyDescent="0.2">
      <c r="A1864" s="567">
        <v>3141</v>
      </c>
      <c r="B1864" s="568" t="s">
        <v>3020</v>
      </c>
      <c r="C1864" s="568" t="s">
        <v>3020</v>
      </c>
      <c r="D1864" s="567">
        <v>9100</v>
      </c>
      <c r="E1864" s="567">
        <v>78</v>
      </c>
      <c r="F1864" s="567">
        <v>11</v>
      </c>
      <c r="G1864" s="567">
        <v>437</v>
      </c>
      <c r="H1864" s="567">
        <v>4151</v>
      </c>
      <c r="O1864"/>
    </row>
    <row r="1865" spans="1:15" x14ac:dyDescent="0.2">
      <c r="A1865" s="567">
        <v>3149</v>
      </c>
      <c r="B1865" s="568" t="s">
        <v>3020</v>
      </c>
      <c r="C1865" s="568" t="s">
        <v>1231</v>
      </c>
      <c r="D1865" s="567">
        <v>9108</v>
      </c>
      <c r="E1865" s="567">
        <v>78</v>
      </c>
      <c r="F1865" s="567">
        <v>11</v>
      </c>
      <c r="G1865" s="567">
        <v>437</v>
      </c>
      <c r="H1865" s="567">
        <v>4151</v>
      </c>
      <c r="O1865"/>
    </row>
    <row r="1866" spans="1:15" x14ac:dyDescent="0.2">
      <c r="A1866" s="567">
        <v>3147</v>
      </c>
      <c r="B1866" s="568" t="s">
        <v>3020</v>
      </c>
      <c r="C1866" s="568" t="s">
        <v>3024</v>
      </c>
      <c r="D1866" s="567">
        <v>9106</v>
      </c>
      <c r="E1866" s="567">
        <v>78</v>
      </c>
      <c r="F1866" s="567">
        <v>11</v>
      </c>
      <c r="G1866" s="567">
        <v>437</v>
      </c>
      <c r="H1866" s="567">
        <v>4151</v>
      </c>
      <c r="O1866"/>
    </row>
    <row r="1867" spans="1:15" x14ac:dyDescent="0.2">
      <c r="A1867" s="567">
        <v>3146</v>
      </c>
      <c r="B1867" s="568" t="s">
        <v>3020</v>
      </c>
      <c r="C1867" s="568" t="s">
        <v>3025</v>
      </c>
      <c r="D1867" s="567">
        <v>9105</v>
      </c>
      <c r="E1867" s="567">
        <v>78</v>
      </c>
      <c r="F1867" s="567">
        <v>11</v>
      </c>
      <c r="G1867" s="567">
        <v>437</v>
      </c>
      <c r="H1867" s="567">
        <v>4151</v>
      </c>
      <c r="O1867"/>
    </row>
    <row r="1868" spans="1:15" x14ac:dyDescent="0.2">
      <c r="A1868" s="567">
        <v>3145</v>
      </c>
      <c r="B1868" s="568" t="s">
        <v>3020</v>
      </c>
      <c r="C1868" s="568" t="s">
        <v>3026</v>
      </c>
      <c r="D1868" s="567">
        <v>9104</v>
      </c>
      <c r="E1868" s="567">
        <v>78</v>
      </c>
      <c r="F1868" s="567">
        <v>11</v>
      </c>
      <c r="G1868" s="567">
        <v>437</v>
      </c>
      <c r="H1868" s="567">
        <v>4151</v>
      </c>
      <c r="O1868"/>
    </row>
    <row r="1869" spans="1:15" x14ac:dyDescent="0.2">
      <c r="A1869" s="567">
        <v>3144</v>
      </c>
      <c r="B1869" s="568" t="s">
        <v>3020</v>
      </c>
      <c r="C1869" s="568" t="s">
        <v>3027</v>
      </c>
      <c r="D1869" s="567">
        <v>9103</v>
      </c>
      <c r="E1869" s="567">
        <v>78</v>
      </c>
      <c r="F1869" s="567">
        <v>11</v>
      </c>
      <c r="G1869" s="567">
        <v>437</v>
      </c>
      <c r="H1869" s="567">
        <v>4151</v>
      </c>
      <c r="O1869"/>
    </row>
    <row r="1870" spans="1:15" x14ac:dyDescent="0.2">
      <c r="A1870" s="567">
        <v>3143</v>
      </c>
      <c r="B1870" s="568" t="s">
        <v>3020</v>
      </c>
      <c r="C1870" s="568" t="s">
        <v>2284</v>
      </c>
      <c r="D1870" s="567">
        <v>9102</v>
      </c>
      <c r="E1870" s="567">
        <v>78</v>
      </c>
      <c r="F1870" s="567">
        <v>11</v>
      </c>
      <c r="G1870" s="567">
        <v>437</v>
      </c>
      <c r="H1870" s="567">
        <v>4151</v>
      </c>
      <c r="O1870"/>
    </row>
    <row r="1871" spans="1:15" x14ac:dyDescent="0.2">
      <c r="A1871" s="567">
        <v>3142</v>
      </c>
      <c r="B1871" s="568" t="s">
        <v>3020</v>
      </c>
      <c r="C1871" s="568" t="s">
        <v>3100</v>
      </c>
      <c r="D1871" s="567">
        <v>9101</v>
      </c>
      <c r="E1871" s="567">
        <v>78</v>
      </c>
      <c r="F1871" s="567">
        <v>11</v>
      </c>
      <c r="G1871" s="567">
        <v>437</v>
      </c>
      <c r="H1871" s="567">
        <v>4151</v>
      </c>
      <c r="O1871"/>
    </row>
    <row r="1872" spans="1:15" x14ac:dyDescent="0.2">
      <c r="A1872" s="567">
        <v>2812</v>
      </c>
      <c r="B1872" s="568" t="s">
        <v>2616</v>
      </c>
      <c r="C1872" s="568" t="s">
        <v>2615</v>
      </c>
      <c r="D1872" s="567">
        <v>8063</v>
      </c>
      <c r="E1872" s="567">
        <v>44</v>
      </c>
      <c r="F1872" s="567">
        <v>15</v>
      </c>
      <c r="G1872" s="567">
        <v>417</v>
      </c>
      <c r="H1872" s="567">
        <v>4100</v>
      </c>
      <c r="O1872"/>
    </row>
    <row r="1873" spans="1:15" x14ac:dyDescent="0.2">
      <c r="A1873" s="567">
        <v>2809</v>
      </c>
      <c r="B1873" s="568" t="s">
        <v>2616</v>
      </c>
      <c r="C1873" s="568" t="s">
        <v>2616</v>
      </c>
      <c r="D1873" s="567">
        <v>8060</v>
      </c>
      <c r="E1873" s="567">
        <v>44</v>
      </c>
      <c r="F1873" s="567">
        <v>15</v>
      </c>
      <c r="G1873" s="567">
        <v>417</v>
      </c>
      <c r="H1873" s="567">
        <v>4100</v>
      </c>
      <c r="O1873"/>
    </row>
    <row r="1874" spans="1:15" x14ac:dyDescent="0.2">
      <c r="A1874" s="567">
        <v>2811</v>
      </c>
      <c r="B1874" s="568" t="s">
        <v>2616</v>
      </c>
      <c r="C1874" s="568" t="s">
        <v>2625</v>
      </c>
      <c r="D1874" s="567">
        <v>8062</v>
      </c>
      <c r="E1874" s="567">
        <v>44</v>
      </c>
      <c r="F1874" s="567">
        <v>15</v>
      </c>
      <c r="G1874" s="567">
        <v>417</v>
      </c>
      <c r="H1874" s="567">
        <v>4100</v>
      </c>
      <c r="O1874"/>
    </row>
    <row r="1875" spans="1:15" x14ac:dyDescent="0.2">
      <c r="A1875" s="567">
        <v>2813</v>
      </c>
      <c r="B1875" s="568" t="s">
        <v>2616</v>
      </c>
      <c r="C1875" s="568" t="s">
        <v>2627</v>
      </c>
      <c r="D1875" s="567">
        <v>8064</v>
      </c>
      <c r="E1875" s="567">
        <v>44</v>
      </c>
      <c r="F1875" s="567">
        <v>15</v>
      </c>
      <c r="G1875" s="567">
        <v>417</v>
      </c>
      <c r="H1875" s="567">
        <v>4100</v>
      </c>
      <c r="O1875"/>
    </row>
    <row r="1876" spans="1:15" x14ac:dyDescent="0.2">
      <c r="A1876" s="567">
        <v>2814</v>
      </c>
      <c r="B1876" s="568" t="s">
        <v>2616</v>
      </c>
      <c r="C1876" s="568" t="s">
        <v>2628</v>
      </c>
      <c r="D1876" s="567">
        <v>8065</v>
      </c>
      <c r="E1876" s="567">
        <v>44</v>
      </c>
      <c r="F1876" s="567">
        <v>15</v>
      </c>
      <c r="G1876" s="567">
        <v>417</v>
      </c>
      <c r="H1876" s="567">
        <v>4100</v>
      </c>
      <c r="O1876"/>
    </row>
    <row r="1877" spans="1:15" x14ac:dyDescent="0.2">
      <c r="A1877" s="567">
        <v>2815</v>
      </c>
      <c r="B1877" s="568" t="s">
        <v>2616</v>
      </c>
      <c r="C1877" s="568" t="s">
        <v>2629</v>
      </c>
      <c r="D1877" s="567">
        <v>8066</v>
      </c>
      <c r="E1877" s="567">
        <v>44</v>
      </c>
      <c r="F1877" s="567">
        <v>15</v>
      </c>
      <c r="G1877" s="567">
        <v>417</v>
      </c>
      <c r="H1877" s="567">
        <v>4100</v>
      </c>
      <c r="O1877"/>
    </row>
    <row r="1878" spans="1:15" x14ac:dyDescent="0.2">
      <c r="A1878" s="567">
        <v>2810</v>
      </c>
      <c r="B1878" s="568" t="s">
        <v>2616</v>
      </c>
      <c r="C1878" s="568" t="s">
        <v>1891</v>
      </c>
      <c r="D1878" s="567">
        <v>8061</v>
      </c>
      <c r="E1878" s="567">
        <v>44</v>
      </c>
      <c r="F1878" s="567">
        <v>15</v>
      </c>
      <c r="G1878" s="567">
        <v>417</v>
      </c>
      <c r="H1878" s="567">
        <v>4100</v>
      </c>
      <c r="O1878"/>
    </row>
    <row r="1879" spans="1:15" x14ac:dyDescent="0.2">
      <c r="A1879" s="567">
        <v>2644</v>
      </c>
      <c r="B1879" s="568" t="s">
        <v>2959</v>
      </c>
      <c r="C1879" s="568" t="s">
        <v>2959</v>
      </c>
      <c r="D1879" s="567">
        <v>7620</v>
      </c>
      <c r="E1879" s="567">
        <v>50</v>
      </c>
      <c r="F1879" s="567">
        <v>18</v>
      </c>
      <c r="G1879" s="567">
        <v>415</v>
      </c>
      <c r="H1879" s="567">
        <v>4131</v>
      </c>
      <c r="O1879"/>
    </row>
    <row r="1880" spans="1:15" x14ac:dyDescent="0.2">
      <c r="A1880" s="567">
        <v>2645</v>
      </c>
      <c r="B1880" s="568" t="s">
        <v>2959</v>
      </c>
      <c r="C1880" s="568" t="s">
        <v>2960</v>
      </c>
      <c r="D1880" s="567">
        <v>7621</v>
      </c>
      <c r="E1880" s="567">
        <v>50</v>
      </c>
      <c r="F1880" s="567">
        <v>18</v>
      </c>
      <c r="G1880" s="567">
        <v>415</v>
      </c>
      <c r="H1880" s="567">
        <v>4131</v>
      </c>
      <c r="O1880"/>
    </row>
    <row r="1881" spans="1:15" x14ac:dyDescent="0.2">
      <c r="A1881" s="567">
        <v>2646</v>
      </c>
      <c r="B1881" s="568" t="s">
        <v>2959</v>
      </c>
      <c r="C1881" s="568" t="s">
        <v>879</v>
      </c>
      <c r="D1881" s="567">
        <v>7622</v>
      </c>
      <c r="E1881" s="567">
        <v>50</v>
      </c>
      <c r="F1881" s="567">
        <v>18</v>
      </c>
      <c r="G1881" s="567">
        <v>415</v>
      </c>
      <c r="H1881" s="567">
        <v>4131</v>
      </c>
      <c r="O1881"/>
    </row>
    <row r="1882" spans="1:15" x14ac:dyDescent="0.2">
      <c r="A1882" s="567">
        <v>324</v>
      </c>
      <c r="B1882" s="568" t="s">
        <v>1071</v>
      </c>
      <c r="C1882" s="568" t="s">
        <v>531</v>
      </c>
      <c r="D1882" s="567">
        <v>545</v>
      </c>
      <c r="E1882" s="567">
        <v>56</v>
      </c>
      <c r="F1882" s="567">
        <v>19</v>
      </c>
      <c r="G1882" s="567">
        <v>127</v>
      </c>
      <c r="H1882" s="567">
        <v>1200</v>
      </c>
      <c r="O1882"/>
    </row>
    <row r="1883" spans="1:15" x14ac:dyDescent="0.2">
      <c r="A1883" s="567">
        <v>322</v>
      </c>
      <c r="B1883" s="568" t="s">
        <v>1069</v>
      </c>
      <c r="C1883" s="568" t="s">
        <v>1069</v>
      </c>
      <c r="D1883" s="567">
        <v>540</v>
      </c>
      <c r="E1883" s="567">
        <v>59</v>
      </c>
      <c r="F1883" s="567">
        <v>19</v>
      </c>
      <c r="G1883" s="567">
        <v>127</v>
      </c>
      <c r="H1883" s="567">
        <v>1200</v>
      </c>
      <c r="O1883"/>
    </row>
    <row r="1884" spans="1:15" x14ac:dyDescent="0.2">
      <c r="A1884" s="567">
        <v>323</v>
      </c>
      <c r="B1884" s="568" t="s">
        <v>1069</v>
      </c>
      <c r="C1884" s="568" t="s">
        <v>1070</v>
      </c>
      <c r="D1884" s="567">
        <v>541</v>
      </c>
      <c r="E1884" s="567">
        <v>59</v>
      </c>
      <c r="F1884" s="567">
        <v>19</v>
      </c>
      <c r="G1884" s="567">
        <v>127</v>
      </c>
      <c r="H1884" s="567">
        <v>1200</v>
      </c>
      <c r="O1884"/>
    </row>
    <row r="1885" spans="1:15" x14ac:dyDescent="0.2">
      <c r="A1885" s="567">
        <v>2979</v>
      </c>
      <c r="B1885" s="568" t="s">
        <v>2704</v>
      </c>
      <c r="C1885" s="568" t="s">
        <v>2704</v>
      </c>
      <c r="D1885" s="567">
        <v>8590</v>
      </c>
      <c r="E1885" s="567">
        <v>73</v>
      </c>
      <c r="F1885" s="567">
        <v>12</v>
      </c>
      <c r="G1885" s="567">
        <v>426</v>
      </c>
      <c r="H1885" s="567">
        <v>4110</v>
      </c>
      <c r="O1885"/>
    </row>
    <row r="1886" spans="1:15" x14ac:dyDescent="0.2">
      <c r="A1886" s="567">
        <v>2980</v>
      </c>
      <c r="B1886" s="568" t="s">
        <v>2704</v>
      </c>
      <c r="C1886" s="568" t="s">
        <v>2705</v>
      </c>
      <c r="D1886" s="567">
        <v>8591</v>
      </c>
      <c r="E1886" s="567">
        <v>73</v>
      </c>
      <c r="F1886" s="567">
        <v>12</v>
      </c>
      <c r="G1886" s="567">
        <v>426</v>
      </c>
      <c r="H1886" s="567">
        <v>4110</v>
      </c>
      <c r="O1886"/>
    </row>
    <row r="1887" spans="1:15" x14ac:dyDescent="0.2">
      <c r="A1887" s="567">
        <v>2981</v>
      </c>
      <c r="B1887" s="568" t="s">
        <v>2704</v>
      </c>
      <c r="C1887" s="568" t="s">
        <v>2706</v>
      </c>
      <c r="D1887" s="567">
        <v>8592</v>
      </c>
      <c r="E1887" s="567">
        <v>73</v>
      </c>
      <c r="F1887" s="567">
        <v>12</v>
      </c>
      <c r="G1887" s="567">
        <v>426</v>
      </c>
      <c r="H1887" s="567">
        <v>4110</v>
      </c>
      <c r="O1887"/>
    </row>
    <row r="1888" spans="1:15" x14ac:dyDescent="0.2">
      <c r="A1888" s="567">
        <v>3061</v>
      </c>
      <c r="B1888" s="568" t="s">
        <v>2775</v>
      </c>
      <c r="C1888" s="568" t="s">
        <v>1829</v>
      </c>
      <c r="D1888" s="567">
        <v>8821</v>
      </c>
      <c r="E1888" s="567">
        <v>74</v>
      </c>
      <c r="F1888" s="567">
        <v>11</v>
      </c>
      <c r="G1888" s="567">
        <v>426</v>
      </c>
      <c r="H1888" s="567">
        <v>4110</v>
      </c>
      <c r="O1888"/>
    </row>
    <row r="1889" spans="1:15" x14ac:dyDescent="0.2">
      <c r="A1889" s="567">
        <v>3060</v>
      </c>
      <c r="B1889" s="568" t="s">
        <v>2775</v>
      </c>
      <c r="C1889" s="568" t="s">
        <v>2775</v>
      </c>
      <c r="D1889" s="567">
        <v>8820</v>
      </c>
      <c r="E1889" s="567">
        <v>74</v>
      </c>
      <c r="F1889" s="567">
        <v>11</v>
      </c>
      <c r="G1889" s="567">
        <v>426</v>
      </c>
      <c r="H1889" s="567">
        <v>4110</v>
      </c>
      <c r="O1889"/>
    </row>
    <row r="1890" spans="1:15" x14ac:dyDescent="0.2">
      <c r="A1890" s="567">
        <v>350</v>
      </c>
      <c r="B1890" s="568" t="s">
        <v>567</v>
      </c>
      <c r="C1890" s="568" t="s">
        <v>567</v>
      </c>
      <c r="D1890" s="567">
        <v>615</v>
      </c>
      <c r="E1890" s="567">
        <v>63</v>
      </c>
      <c r="F1890" s="567">
        <v>21</v>
      </c>
      <c r="G1890" s="567">
        <v>125</v>
      </c>
      <c r="H1890" s="567">
        <v>1150</v>
      </c>
      <c r="O1890"/>
    </row>
    <row r="1891" spans="1:15" x14ac:dyDescent="0.2">
      <c r="A1891" s="567">
        <v>351</v>
      </c>
      <c r="B1891" s="568" t="s">
        <v>567</v>
      </c>
      <c r="C1891" s="568" t="s">
        <v>568</v>
      </c>
      <c r="D1891" s="567">
        <v>616</v>
      </c>
      <c r="E1891" s="567">
        <v>63</v>
      </c>
      <c r="F1891" s="567">
        <v>21</v>
      </c>
      <c r="G1891" s="567">
        <v>125</v>
      </c>
      <c r="H1891" s="567">
        <v>1150</v>
      </c>
      <c r="O1891"/>
    </row>
    <row r="1892" spans="1:15" x14ac:dyDescent="0.2">
      <c r="A1892" s="567">
        <v>352</v>
      </c>
      <c r="B1892" s="568" t="s">
        <v>567</v>
      </c>
      <c r="C1892" s="568" t="s">
        <v>159</v>
      </c>
      <c r="D1892" s="567">
        <v>617</v>
      </c>
      <c r="E1892" s="567">
        <v>63</v>
      </c>
      <c r="F1892" s="567">
        <v>21</v>
      </c>
      <c r="G1892" s="567">
        <v>125</v>
      </c>
      <c r="H1892" s="567">
        <v>1150</v>
      </c>
      <c r="O1892"/>
    </row>
    <row r="1893" spans="1:15" x14ac:dyDescent="0.2">
      <c r="A1893" s="567">
        <v>353</v>
      </c>
      <c r="B1893" s="568" t="s">
        <v>567</v>
      </c>
      <c r="C1893" s="568" t="s">
        <v>569</v>
      </c>
      <c r="D1893" s="567">
        <v>618</v>
      </c>
      <c r="E1893" s="567">
        <v>63</v>
      </c>
      <c r="F1893" s="567">
        <v>21</v>
      </c>
      <c r="G1893" s="567">
        <v>125</v>
      </c>
      <c r="H1893" s="567">
        <v>1150</v>
      </c>
      <c r="O1893"/>
    </row>
    <row r="1894" spans="1:15" x14ac:dyDescent="0.2">
      <c r="A1894" s="567">
        <v>354</v>
      </c>
      <c r="B1894" s="568" t="s">
        <v>567</v>
      </c>
      <c r="C1894" s="568" t="s">
        <v>570</v>
      </c>
      <c r="D1894" s="567">
        <v>619</v>
      </c>
      <c r="E1894" s="567">
        <v>63</v>
      </c>
      <c r="F1894" s="567">
        <v>21</v>
      </c>
      <c r="G1894" s="567">
        <v>125</v>
      </c>
      <c r="H1894" s="567">
        <v>1150</v>
      </c>
      <c r="O1894"/>
    </row>
    <row r="1895" spans="1:15" x14ac:dyDescent="0.2">
      <c r="A1895" s="567">
        <v>954</v>
      </c>
      <c r="B1895" s="568" t="s">
        <v>112</v>
      </c>
      <c r="C1895" s="568" t="s">
        <v>112</v>
      </c>
      <c r="D1895" s="567">
        <v>2470</v>
      </c>
      <c r="E1895" s="567">
        <v>43</v>
      </c>
      <c r="F1895" s="567">
        <v>18</v>
      </c>
      <c r="G1895" s="567">
        <v>136</v>
      </c>
      <c r="H1895" s="567">
        <v>1101</v>
      </c>
      <c r="O1895"/>
    </row>
    <row r="1896" spans="1:15" x14ac:dyDescent="0.2">
      <c r="A1896" s="567">
        <v>546</v>
      </c>
      <c r="B1896" s="568" t="s">
        <v>753</v>
      </c>
      <c r="C1896" s="568" t="s">
        <v>753</v>
      </c>
      <c r="D1896" s="567">
        <v>1135</v>
      </c>
      <c r="E1896" s="567">
        <v>51</v>
      </c>
      <c r="F1896" s="567">
        <v>1</v>
      </c>
      <c r="G1896" s="567">
        <v>118</v>
      </c>
      <c r="H1896" s="567">
        <v>1170</v>
      </c>
      <c r="O1896"/>
    </row>
    <row r="1897" spans="1:15" x14ac:dyDescent="0.2">
      <c r="A1897" s="567">
        <v>2110</v>
      </c>
      <c r="B1897" s="568" t="s">
        <v>1740</v>
      </c>
      <c r="C1897" s="568" t="s">
        <v>1740</v>
      </c>
      <c r="D1897" s="567">
        <v>6040</v>
      </c>
      <c r="E1897" s="567">
        <v>37</v>
      </c>
      <c r="F1897" s="567">
        <v>7</v>
      </c>
      <c r="G1897" s="567">
        <v>326</v>
      </c>
      <c r="H1897" s="567">
        <v>3100</v>
      </c>
      <c r="O1897"/>
    </row>
    <row r="1898" spans="1:15" x14ac:dyDescent="0.2">
      <c r="A1898" s="567">
        <v>1449</v>
      </c>
      <c r="B1898" s="568" t="s">
        <v>1577</v>
      </c>
      <c r="C1898" s="568" t="s">
        <v>1577</v>
      </c>
      <c r="D1898" s="567">
        <v>3975</v>
      </c>
      <c r="E1898" s="567">
        <v>39</v>
      </c>
      <c r="F1898" s="567">
        <v>17</v>
      </c>
      <c r="G1898" s="567">
        <v>236</v>
      </c>
      <c r="H1898" s="567">
        <v>2150</v>
      </c>
      <c r="O1898"/>
    </row>
    <row r="1899" spans="1:15" x14ac:dyDescent="0.2">
      <c r="A1899" s="567">
        <v>2319</v>
      </c>
      <c r="B1899" s="568" t="s">
        <v>1125</v>
      </c>
      <c r="C1899" s="568" t="s">
        <v>2292</v>
      </c>
      <c r="D1899" s="567">
        <v>6681</v>
      </c>
      <c r="E1899" s="567">
        <v>55</v>
      </c>
      <c r="F1899" s="567">
        <v>4</v>
      </c>
      <c r="G1899" s="567">
        <v>335</v>
      </c>
      <c r="H1899" s="567">
        <v>3151</v>
      </c>
      <c r="O1899"/>
    </row>
    <row r="1900" spans="1:15" x14ac:dyDescent="0.2">
      <c r="A1900" s="567">
        <v>2318</v>
      </c>
      <c r="B1900" s="568" t="s">
        <v>1125</v>
      </c>
      <c r="C1900" s="568" t="s">
        <v>1125</v>
      </c>
      <c r="D1900" s="567">
        <v>6680</v>
      </c>
      <c r="E1900" s="567">
        <v>55</v>
      </c>
      <c r="F1900" s="567">
        <v>4</v>
      </c>
      <c r="G1900" s="567">
        <v>335</v>
      </c>
      <c r="H1900" s="567">
        <v>3151</v>
      </c>
      <c r="O1900"/>
    </row>
    <row r="1901" spans="1:15" x14ac:dyDescent="0.2">
      <c r="A1901" s="567">
        <v>2320</v>
      </c>
      <c r="B1901" s="568" t="s">
        <v>1125</v>
      </c>
      <c r="C1901" s="568" t="s">
        <v>2325</v>
      </c>
      <c r="D1901" s="567">
        <v>6682</v>
      </c>
      <c r="E1901" s="567">
        <v>55</v>
      </c>
      <c r="F1901" s="567">
        <v>4</v>
      </c>
      <c r="G1901" s="567">
        <v>335</v>
      </c>
      <c r="H1901" s="567">
        <v>3151</v>
      </c>
      <c r="O1901"/>
    </row>
    <row r="1902" spans="1:15" x14ac:dyDescent="0.2">
      <c r="A1902" s="567">
        <v>2321</v>
      </c>
      <c r="B1902" s="568" t="s">
        <v>1125</v>
      </c>
      <c r="C1902" s="568" t="s">
        <v>126</v>
      </c>
      <c r="D1902" s="567">
        <v>6683</v>
      </c>
      <c r="E1902" s="567">
        <v>55</v>
      </c>
      <c r="F1902" s="567">
        <v>4</v>
      </c>
      <c r="G1902" s="567">
        <v>335</v>
      </c>
      <c r="H1902" s="567">
        <v>3151</v>
      </c>
      <c r="O1902"/>
    </row>
    <row r="1903" spans="1:15" x14ac:dyDescent="0.2">
      <c r="A1903" s="567">
        <v>3038</v>
      </c>
      <c r="B1903" s="568" t="s">
        <v>2722</v>
      </c>
      <c r="C1903" s="568" t="s">
        <v>2722</v>
      </c>
      <c r="D1903" s="567">
        <v>8740</v>
      </c>
      <c r="E1903" s="567">
        <v>78</v>
      </c>
      <c r="F1903" s="567">
        <v>11</v>
      </c>
      <c r="G1903" s="567">
        <v>426</v>
      </c>
      <c r="H1903" s="567">
        <v>4110</v>
      </c>
      <c r="O1903"/>
    </row>
    <row r="1904" spans="1:15" x14ac:dyDescent="0.2">
      <c r="A1904" s="567">
        <v>1120</v>
      </c>
      <c r="B1904" s="568" t="s">
        <v>1495</v>
      </c>
      <c r="C1904" s="568" t="s">
        <v>1494</v>
      </c>
      <c r="D1904" s="567">
        <v>2885</v>
      </c>
      <c r="E1904" s="567">
        <v>58</v>
      </c>
      <c r="F1904" s="567">
        <v>21</v>
      </c>
      <c r="G1904" s="567">
        <v>225</v>
      </c>
      <c r="H1904" s="567">
        <v>2140</v>
      </c>
      <c r="O1904"/>
    </row>
    <row r="1905" spans="1:15" x14ac:dyDescent="0.2">
      <c r="A1905" s="567">
        <v>1119</v>
      </c>
      <c r="B1905" s="568" t="s">
        <v>1495</v>
      </c>
      <c r="C1905" s="568" t="s">
        <v>1496</v>
      </c>
      <c r="D1905" s="567">
        <v>2884</v>
      </c>
      <c r="E1905" s="567">
        <v>58</v>
      </c>
      <c r="F1905" s="567">
        <v>21</v>
      </c>
      <c r="G1905" s="567">
        <v>225</v>
      </c>
      <c r="H1905" s="567">
        <v>2140</v>
      </c>
      <c r="O1905"/>
    </row>
    <row r="1906" spans="1:15" x14ac:dyDescent="0.2">
      <c r="A1906" s="567">
        <v>1118</v>
      </c>
      <c r="B1906" s="568" t="s">
        <v>1495</v>
      </c>
      <c r="C1906" s="568" t="s">
        <v>1497</v>
      </c>
      <c r="D1906" s="567">
        <v>2883</v>
      </c>
      <c r="E1906" s="567">
        <v>58</v>
      </c>
      <c r="F1906" s="567">
        <v>21</v>
      </c>
      <c r="G1906" s="567">
        <v>225</v>
      </c>
      <c r="H1906" s="567">
        <v>2140</v>
      </c>
      <c r="O1906"/>
    </row>
    <row r="1907" spans="1:15" x14ac:dyDescent="0.2">
      <c r="A1907" s="567">
        <v>1117</v>
      </c>
      <c r="B1907" s="568" t="s">
        <v>1495</v>
      </c>
      <c r="C1907" s="568" t="s">
        <v>1498</v>
      </c>
      <c r="D1907" s="567">
        <v>2882</v>
      </c>
      <c r="E1907" s="567">
        <v>58</v>
      </c>
      <c r="F1907" s="567">
        <v>21</v>
      </c>
      <c r="G1907" s="567">
        <v>225</v>
      </c>
      <c r="H1907" s="567">
        <v>2140</v>
      </c>
      <c r="O1907"/>
    </row>
    <row r="1908" spans="1:15" x14ac:dyDescent="0.2">
      <c r="A1908" s="567">
        <v>1116</v>
      </c>
      <c r="B1908" s="568" t="s">
        <v>1495</v>
      </c>
      <c r="C1908" s="568" t="s">
        <v>1499</v>
      </c>
      <c r="D1908" s="567">
        <v>2881</v>
      </c>
      <c r="E1908" s="567">
        <v>58</v>
      </c>
      <c r="F1908" s="567">
        <v>21</v>
      </c>
      <c r="G1908" s="567">
        <v>225</v>
      </c>
      <c r="H1908" s="567">
        <v>2140</v>
      </c>
      <c r="O1908"/>
    </row>
    <row r="1909" spans="1:15" x14ac:dyDescent="0.2">
      <c r="A1909" s="567">
        <v>1115</v>
      </c>
      <c r="B1909" s="568" t="s">
        <v>1495</v>
      </c>
      <c r="C1909" s="568" t="s">
        <v>1495</v>
      </c>
      <c r="D1909" s="567">
        <v>2880</v>
      </c>
      <c r="E1909" s="567">
        <v>58</v>
      </c>
      <c r="F1909" s="567">
        <v>21</v>
      </c>
      <c r="G1909" s="567">
        <v>225</v>
      </c>
      <c r="H1909" s="567">
        <v>2140</v>
      </c>
      <c r="O1909"/>
    </row>
    <row r="1910" spans="1:15" x14ac:dyDescent="0.2">
      <c r="A1910" s="567">
        <v>2634</v>
      </c>
      <c r="B1910" s="568" t="s">
        <v>2995</v>
      </c>
      <c r="C1910" s="568" t="s">
        <v>609</v>
      </c>
      <c r="D1910" s="567">
        <v>7562</v>
      </c>
      <c r="E1910" s="567">
        <v>25</v>
      </c>
      <c r="F1910" s="567">
        <v>18</v>
      </c>
      <c r="G1910" s="567">
        <v>416</v>
      </c>
      <c r="H1910" s="567">
        <v>4140</v>
      </c>
      <c r="O1910"/>
    </row>
    <row r="1911" spans="1:15" x14ac:dyDescent="0.2">
      <c r="A1911" s="567">
        <v>2633</v>
      </c>
      <c r="B1911" s="568" t="s">
        <v>2995</v>
      </c>
      <c r="C1911" s="568" t="s">
        <v>2996</v>
      </c>
      <c r="D1911" s="567">
        <v>7561</v>
      </c>
      <c r="E1911" s="567">
        <v>25</v>
      </c>
      <c r="F1911" s="567">
        <v>18</v>
      </c>
      <c r="G1911" s="567">
        <v>416</v>
      </c>
      <c r="H1911" s="567">
        <v>4140</v>
      </c>
      <c r="O1911"/>
    </row>
    <row r="1912" spans="1:15" x14ac:dyDescent="0.2">
      <c r="A1912" s="567">
        <v>2632</v>
      </c>
      <c r="B1912" s="568" t="s">
        <v>2995</v>
      </c>
      <c r="C1912" s="568" t="s">
        <v>2995</v>
      </c>
      <c r="D1912" s="567">
        <v>7560</v>
      </c>
      <c r="E1912" s="567">
        <v>25</v>
      </c>
      <c r="F1912" s="567">
        <v>18</v>
      </c>
      <c r="G1912" s="567">
        <v>416</v>
      </c>
      <c r="H1912" s="567">
        <v>4140</v>
      </c>
      <c r="O1912"/>
    </row>
    <row r="1913" spans="1:15" x14ac:dyDescent="0.2">
      <c r="A1913" s="567">
        <v>730</v>
      </c>
      <c r="B1913" s="568" t="s">
        <v>675</v>
      </c>
      <c r="C1913" s="568" t="s">
        <v>675</v>
      </c>
      <c r="D1913" s="567">
        <v>1670</v>
      </c>
      <c r="E1913" s="567">
        <v>34</v>
      </c>
      <c r="F1913" s="567">
        <v>2</v>
      </c>
      <c r="G1913" s="567">
        <v>115</v>
      </c>
      <c r="H1913" s="567">
        <v>1161</v>
      </c>
      <c r="O1913"/>
    </row>
    <row r="1914" spans="1:15" x14ac:dyDescent="0.2">
      <c r="A1914" s="567">
        <v>1036</v>
      </c>
      <c r="B1914" s="568" t="s">
        <v>1518</v>
      </c>
      <c r="C1914" s="568" t="s">
        <v>1517</v>
      </c>
      <c r="D1914" s="567">
        <v>2686</v>
      </c>
      <c r="E1914" s="567">
        <v>60</v>
      </c>
      <c r="F1914" s="567">
        <v>19</v>
      </c>
      <c r="G1914" s="567">
        <v>225</v>
      </c>
      <c r="H1914" s="567">
        <v>2140</v>
      </c>
      <c r="O1914"/>
    </row>
    <row r="1915" spans="1:15" x14ac:dyDescent="0.2">
      <c r="A1915" s="567">
        <v>1035</v>
      </c>
      <c r="B1915" s="568" t="s">
        <v>1518</v>
      </c>
      <c r="C1915" s="568" t="s">
        <v>1519</v>
      </c>
      <c r="D1915" s="567">
        <v>2685</v>
      </c>
      <c r="E1915" s="567">
        <v>60</v>
      </c>
      <c r="F1915" s="567">
        <v>19</v>
      </c>
      <c r="G1915" s="567">
        <v>225</v>
      </c>
      <c r="H1915" s="567">
        <v>2140</v>
      </c>
      <c r="O1915"/>
    </row>
    <row r="1916" spans="1:15" x14ac:dyDescent="0.2">
      <c r="A1916" s="567">
        <v>1034</v>
      </c>
      <c r="B1916" s="568" t="s">
        <v>1518</v>
      </c>
      <c r="C1916" s="568" t="s">
        <v>1520</v>
      </c>
      <c r="D1916" s="567">
        <v>2684</v>
      </c>
      <c r="E1916" s="567">
        <v>60</v>
      </c>
      <c r="F1916" s="567">
        <v>19</v>
      </c>
      <c r="G1916" s="567">
        <v>225</v>
      </c>
      <c r="H1916" s="567">
        <v>2140</v>
      </c>
      <c r="O1916"/>
    </row>
    <row r="1917" spans="1:15" x14ac:dyDescent="0.2">
      <c r="A1917" s="567">
        <v>1033</v>
      </c>
      <c r="B1917" s="568" t="s">
        <v>1518</v>
      </c>
      <c r="C1917" s="568" t="s">
        <v>1521</v>
      </c>
      <c r="D1917" s="567">
        <v>2683</v>
      </c>
      <c r="E1917" s="567">
        <v>60</v>
      </c>
      <c r="F1917" s="567">
        <v>19</v>
      </c>
      <c r="G1917" s="567">
        <v>225</v>
      </c>
      <c r="H1917" s="567">
        <v>2140</v>
      </c>
      <c r="O1917"/>
    </row>
    <row r="1918" spans="1:15" x14ac:dyDescent="0.2">
      <c r="A1918" s="567">
        <v>1032</v>
      </c>
      <c r="B1918" s="568" t="s">
        <v>1518</v>
      </c>
      <c r="C1918" s="568" t="s">
        <v>1522</v>
      </c>
      <c r="D1918" s="567">
        <v>2682</v>
      </c>
      <c r="E1918" s="567">
        <v>60</v>
      </c>
      <c r="F1918" s="567">
        <v>19</v>
      </c>
      <c r="G1918" s="567">
        <v>225</v>
      </c>
      <c r="H1918" s="567">
        <v>2140</v>
      </c>
      <c r="O1918"/>
    </row>
    <row r="1919" spans="1:15" x14ac:dyDescent="0.2">
      <c r="A1919" s="567">
        <v>1031</v>
      </c>
      <c r="B1919" s="568" t="s">
        <v>1518</v>
      </c>
      <c r="C1919" s="568" t="s">
        <v>1523</v>
      </c>
      <c r="D1919" s="567">
        <v>2681</v>
      </c>
      <c r="E1919" s="567">
        <v>60</v>
      </c>
      <c r="F1919" s="567">
        <v>19</v>
      </c>
      <c r="G1919" s="567">
        <v>225</v>
      </c>
      <c r="H1919" s="567">
        <v>2140</v>
      </c>
      <c r="O1919"/>
    </row>
    <row r="1920" spans="1:15" x14ac:dyDescent="0.2">
      <c r="A1920" s="567">
        <v>1030</v>
      </c>
      <c r="B1920" s="568" t="s">
        <v>1518</v>
      </c>
      <c r="C1920" s="568" t="s">
        <v>1518</v>
      </c>
      <c r="D1920" s="567">
        <v>2680</v>
      </c>
      <c r="E1920" s="567">
        <v>60</v>
      </c>
      <c r="F1920" s="567">
        <v>19</v>
      </c>
      <c r="G1920" s="567">
        <v>225</v>
      </c>
      <c r="H1920" s="567">
        <v>2140</v>
      </c>
      <c r="O1920"/>
    </row>
    <row r="1921" spans="1:15" x14ac:dyDescent="0.2">
      <c r="A1921" s="567">
        <v>1037</v>
      </c>
      <c r="B1921" s="568" t="s">
        <v>1518</v>
      </c>
      <c r="C1921" s="568" t="s">
        <v>1551</v>
      </c>
      <c r="D1921" s="567">
        <v>2687</v>
      </c>
      <c r="E1921" s="567">
        <v>60</v>
      </c>
      <c r="F1921" s="567">
        <v>19</v>
      </c>
      <c r="G1921" s="567">
        <v>225</v>
      </c>
      <c r="H1921" s="567">
        <v>2140</v>
      </c>
      <c r="O1921"/>
    </row>
    <row r="1922" spans="1:15" x14ac:dyDescent="0.2">
      <c r="A1922" s="567">
        <v>1038</v>
      </c>
      <c r="B1922" s="568" t="s">
        <v>1518</v>
      </c>
      <c r="C1922" s="568" t="s">
        <v>283</v>
      </c>
      <c r="D1922" s="567">
        <v>2688</v>
      </c>
      <c r="E1922" s="567">
        <v>60</v>
      </c>
      <c r="F1922" s="567">
        <v>19</v>
      </c>
      <c r="G1922" s="567">
        <v>225</v>
      </c>
      <c r="H1922" s="567">
        <v>2140</v>
      </c>
      <c r="O1922"/>
    </row>
    <row r="1923" spans="1:15" x14ac:dyDescent="0.2">
      <c r="A1923" s="567">
        <v>1346</v>
      </c>
      <c r="B1923" s="568" t="s">
        <v>1140</v>
      </c>
      <c r="C1923" s="568" t="s">
        <v>1140</v>
      </c>
      <c r="D1923" s="567">
        <v>3675</v>
      </c>
      <c r="E1923" s="567">
        <v>33</v>
      </c>
      <c r="F1923" s="567">
        <v>3</v>
      </c>
      <c r="G1923" s="567">
        <v>216</v>
      </c>
      <c r="H1923" s="567">
        <v>2100</v>
      </c>
      <c r="O1923"/>
    </row>
    <row r="1924" spans="1:15" x14ac:dyDescent="0.2">
      <c r="A1924" s="567">
        <v>1429</v>
      </c>
      <c r="B1924" s="568" t="s">
        <v>1617</v>
      </c>
      <c r="C1924" s="568" t="s">
        <v>445</v>
      </c>
      <c r="D1924" s="567">
        <v>3895</v>
      </c>
      <c r="E1924" s="567">
        <v>40</v>
      </c>
      <c r="F1924" s="567">
        <v>2</v>
      </c>
      <c r="G1924" s="567">
        <v>236</v>
      </c>
      <c r="H1924" s="567">
        <v>2150</v>
      </c>
      <c r="O1924"/>
    </row>
    <row r="1925" spans="1:15" x14ac:dyDescent="0.2">
      <c r="A1925" s="567">
        <v>1428</v>
      </c>
      <c r="B1925" s="568" t="s">
        <v>1617</v>
      </c>
      <c r="C1925" s="568" t="s">
        <v>1622</v>
      </c>
      <c r="D1925" s="567">
        <v>3894</v>
      </c>
      <c r="E1925" s="567">
        <v>40</v>
      </c>
      <c r="F1925" s="567">
        <v>2</v>
      </c>
      <c r="G1925" s="567">
        <v>236</v>
      </c>
      <c r="H1925" s="567">
        <v>2150</v>
      </c>
      <c r="O1925"/>
    </row>
    <row r="1926" spans="1:15" x14ac:dyDescent="0.2">
      <c r="A1926" s="567">
        <v>1427</v>
      </c>
      <c r="B1926" s="568" t="s">
        <v>1617</v>
      </c>
      <c r="C1926" s="568" t="s">
        <v>1623</v>
      </c>
      <c r="D1926" s="567">
        <v>3893</v>
      </c>
      <c r="E1926" s="567">
        <v>40</v>
      </c>
      <c r="F1926" s="567">
        <v>2</v>
      </c>
      <c r="G1926" s="567">
        <v>236</v>
      </c>
      <c r="H1926" s="567">
        <v>2150</v>
      </c>
      <c r="O1926"/>
    </row>
    <row r="1927" spans="1:15" x14ac:dyDescent="0.2">
      <c r="A1927" s="567">
        <v>1426</v>
      </c>
      <c r="B1927" s="568" t="s">
        <v>1617</v>
      </c>
      <c r="C1927" s="568" t="s">
        <v>1624</v>
      </c>
      <c r="D1927" s="567">
        <v>3892</v>
      </c>
      <c r="E1927" s="567">
        <v>40</v>
      </c>
      <c r="F1927" s="567">
        <v>2</v>
      </c>
      <c r="G1927" s="567">
        <v>236</v>
      </c>
      <c r="H1927" s="567">
        <v>2150</v>
      </c>
      <c r="O1927"/>
    </row>
    <row r="1928" spans="1:15" x14ac:dyDescent="0.2">
      <c r="A1928" s="567">
        <v>1425</v>
      </c>
      <c r="B1928" s="568" t="s">
        <v>1617</v>
      </c>
      <c r="C1928" s="568" t="s">
        <v>1625</v>
      </c>
      <c r="D1928" s="567">
        <v>3891</v>
      </c>
      <c r="E1928" s="567">
        <v>40</v>
      </c>
      <c r="F1928" s="567">
        <v>2</v>
      </c>
      <c r="G1928" s="567">
        <v>236</v>
      </c>
      <c r="H1928" s="567">
        <v>2150</v>
      </c>
      <c r="O1928"/>
    </row>
    <row r="1929" spans="1:15" x14ac:dyDescent="0.2">
      <c r="A1929" s="567">
        <v>1424</v>
      </c>
      <c r="B1929" s="568" t="s">
        <v>1617</v>
      </c>
      <c r="C1929" s="568" t="s">
        <v>1617</v>
      </c>
      <c r="D1929" s="567">
        <v>3890</v>
      </c>
      <c r="E1929" s="567">
        <v>40</v>
      </c>
      <c r="F1929" s="567">
        <v>2</v>
      </c>
      <c r="G1929" s="567">
        <v>236</v>
      </c>
      <c r="H1929" s="567">
        <v>2150</v>
      </c>
      <c r="O1929"/>
    </row>
    <row r="1930" spans="1:15" x14ac:dyDescent="0.2">
      <c r="A1930" s="567">
        <v>1805</v>
      </c>
      <c r="B1930" s="568" t="s">
        <v>2162</v>
      </c>
      <c r="C1930" s="568" t="s">
        <v>2162</v>
      </c>
      <c r="D1930" s="567">
        <v>4975</v>
      </c>
      <c r="E1930" s="567">
        <v>78</v>
      </c>
      <c r="F1930" s="567">
        <v>5</v>
      </c>
      <c r="G1930" s="567">
        <v>317</v>
      </c>
      <c r="H1930" s="567">
        <v>3140</v>
      </c>
      <c r="O1930"/>
    </row>
    <row r="1931" spans="1:15" x14ac:dyDescent="0.2">
      <c r="A1931" s="567">
        <v>1216</v>
      </c>
      <c r="B1931" s="568" t="s">
        <v>445</v>
      </c>
      <c r="C1931" s="568" t="s">
        <v>445</v>
      </c>
      <c r="D1931" s="567">
        <v>3265</v>
      </c>
      <c r="E1931" s="567">
        <v>54</v>
      </c>
      <c r="F1931" s="567">
        <v>2</v>
      </c>
      <c r="G1931" s="567">
        <v>226</v>
      </c>
      <c r="H1931" s="567">
        <v>2130</v>
      </c>
      <c r="O1931"/>
    </row>
    <row r="1932" spans="1:15" x14ac:dyDescent="0.2">
      <c r="A1932" s="567">
        <v>1217</v>
      </c>
      <c r="B1932" s="568" t="s">
        <v>445</v>
      </c>
      <c r="C1932" s="568" t="s">
        <v>1412</v>
      </c>
      <c r="D1932" s="567">
        <v>3266</v>
      </c>
      <c r="E1932" s="567">
        <v>54</v>
      </c>
      <c r="F1932" s="567">
        <v>2</v>
      </c>
      <c r="G1932" s="567">
        <v>226</v>
      </c>
      <c r="H1932" s="567">
        <v>2130</v>
      </c>
      <c r="O1932"/>
    </row>
    <row r="1933" spans="1:15" x14ac:dyDescent="0.2">
      <c r="A1933" s="567">
        <v>1218</v>
      </c>
      <c r="B1933" s="568" t="s">
        <v>445</v>
      </c>
      <c r="C1933" s="568" t="s">
        <v>1413</v>
      </c>
      <c r="D1933" s="567">
        <v>3267</v>
      </c>
      <c r="E1933" s="567">
        <v>54</v>
      </c>
      <c r="F1933" s="567">
        <v>2</v>
      </c>
      <c r="G1933" s="567">
        <v>226</v>
      </c>
      <c r="H1933" s="567">
        <v>2130</v>
      </c>
      <c r="O1933"/>
    </row>
    <row r="1934" spans="1:15" x14ac:dyDescent="0.2">
      <c r="A1934" s="567">
        <v>870</v>
      </c>
      <c r="B1934" s="568" t="s">
        <v>446</v>
      </c>
      <c r="C1934" s="568" t="s">
        <v>445</v>
      </c>
      <c r="D1934" s="567">
        <v>2200</v>
      </c>
      <c r="E1934" s="567">
        <v>35</v>
      </c>
      <c r="F1934" s="567">
        <v>14</v>
      </c>
      <c r="G1934" s="567">
        <v>117</v>
      </c>
      <c r="H1934" s="567">
        <v>1130</v>
      </c>
      <c r="O1934"/>
    </row>
    <row r="1935" spans="1:15" x14ac:dyDescent="0.2">
      <c r="A1935" s="567">
        <v>2268</v>
      </c>
      <c r="B1935" s="568" t="s">
        <v>2278</v>
      </c>
      <c r="C1935" s="568" t="s">
        <v>2277</v>
      </c>
      <c r="D1935" s="567">
        <v>6555</v>
      </c>
      <c r="E1935" s="567">
        <v>97</v>
      </c>
      <c r="F1935" s="567">
        <v>11</v>
      </c>
      <c r="G1935" s="567">
        <v>335</v>
      </c>
      <c r="H1935" s="567">
        <v>3151</v>
      </c>
      <c r="O1935"/>
    </row>
    <row r="1936" spans="1:15" x14ac:dyDescent="0.2">
      <c r="A1936" s="567">
        <v>2269</v>
      </c>
      <c r="B1936" s="568" t="s">
        <v>2278</v>
      </c>
      <c r="C1936" s="568" t="s">
        <v>445</v>
      </c>
      <c r="D1936" s="567">
        <v>6556</v>
      </c>
      <c r="E1936" s="567">
        <v>97</v>
      </c>
      <c r="F1936" s="567">
        <v>11</v>
      </c>
      <c r="G1936" s="567">
        <v>335</v>
      </c>
      <c r="H1936" s="567">
        <v>3151</v>
      </c>
      <c r="O1936"/>
    </row>
    <row r="1937" spans="1:15" x14ac:dyDescent="0.2">
      <c r="A1937" s="567">
        <v>2200</v>
      </c>
      <c r="B1937" s="568" t="s">
        <v>2427</v>
      </c>
      <c r="C1937" s="568" t="s">
        <v>187</v>
      </c>
      <c r="D1937" s="567">
        <v>6351</v>
      </c>
      <c r="E1937" s="567">
        <v>36</v>
      </c>
      <c r="F1937" s="567">
        <v>14</v>
      </c>
      <c r="G1937" s="567">
        <v>327</v>
      </c>
      <c r="H1937" s="567">
        <v>3170</v>
      </c>
      <c r="O1937"/>
    </row>
    <row r="1938" spans="1:15" x14ac:dyDescent="0.2">
      <c r="A1938" s="567">
        <v>2199</v>
      </c>
      <c r="B1938" s="568" t="s">
        <v>2427</v>
      </c>
      <c r="C1938" s="568" t="s">
        <v>2390</v>
      </c>
      <c r="D1938" s="567">
        <v>6350</v>
      </c>
      <c r="E1938" s="567">
        <v>36</v>
      </c>
      <c r="F1938" s="567">
        <v>14</v>
      </c>
      <c r="G1938" s="567">
        <v>327</v>
      </c>
      <c r="H1938" s="567">
        <v>3170</v>
      </c>
      <c r="O1938"/>
    </row>
    <row r="1939" spans="1:15" x14ac:dyDescent="0.2">
      <c r="A1939" s="567">
        <v>2229</v>
      </c>
      <c r="B1939" s="568" t="s">
        <v>2290</v>
      </c>
      <c r="C1939" s="568" t="s">
        <v>2289</v>
      </c>
      <c r="D1939" s="567">
        <v>6461</v>
      </c>
      <c r="E1939" s="567">
        <v>57</v>
      </c>
      <c r="F1939" s="567">
        <v>11</v>
      </c>
      <c r="G1939" s="567">
        <v>335</v>
      </c>
      <c r="H1939" s="567">
        <v>3151</v>
      </c>
      <c r="O1939"/>
    </row>
    <row r="1940" spans="1:15" x14ac:dyDescent="0.2">
      <c r="A1940" s="567">
        <v>2230</v>
      </c>
      <c r="B1940" s="568" t="s">
        <v>2290</v>
      </c>
      <c r="C1940" s="568" t="s">
        <v>2291</v>
      </c>
      <c r="D1940" s="567">
        <v>6462</v>
      </c>
      <c r="E1940" s="567">
        <v>57</v>
      </c>
      <c r="F1940" s="567">
        <v>11</v>
      </c>
      <c r="G1940" s="567">
        <v>335</v>
      </c>
      <c r="H1940" s="567">
        <v>3151</v>
      </c>
      <c r="O1940"/>
    </row>
    <row r="1941" spans="1:15" x14ac:dyDescent="0.2">
      <c r="A1941" s="567">
        <v>2231</v>
      </c>
      <c r="B1941" s="568" t="s">
        <v>2290</v>
      </c>
      <c r="C1941" s="568" t="s">
        <v>2293</v>
      </c>
      <c r="D1941" s="567">
        <v>6463</v>
      </c>
      <c r="E1941" s="567">
        <v>57</v>
      </c>
      <c r="F1941" s="567">
        <v>11</v>
      </c>
      <c r="G1941" s="567">
        <v>335</v>
      </c>
      <c r="H1941" s="567">
        <v>3151</v>
      </c>
      <c r="O1941"/>
    </row>
    <row r="1942" spans="1:15" x14ac:dyDescent="0.2">
      <c r="A1942" s="567">
        <v>2232</v>
      </c>
      <c r="B1942" s="568" t="s">
        <v>2290</v>
      </c>
      <c r="C1942" s="568" t="s">
        <v>2294</v>
      </c>
      <c r="D1942" s="567">
        <v>6464</v>
      </c>
      <c r="E1942" s="567">
        <v>57</v>
      </c>
      <c r="F1942" s="567">
        <v>11</v>
      </c>
      <c r="G1942" s="567">
        <v>335</v>
      </c>
      <c r="H1942" s="567">
        <v>3151</v>
      </c>
      <c r="O1942"/>
    </row>
    <row r="1943" spans="1:15" x14ac:dyDescent="0.2">
      <c r="A1943" s="567">
        <v>2228</v>
      </c>
      <c r="B1943" s="568" t="s">
        <v>2290</v>
      </c>
      <c r="C1943" s="568" t="s">
        <v>2290</v>
      </c>
      <c r="D1943" s="567">
        <v>6460</v>
      </c>
      <c r="E1943" s="567">
        <v>57</v>
      </c>
      <c r="F1943" s="567">
        <v>11</v>
      </c>
      <c r="G1943" s="567">
        <v>335</v>
      </c>
      <c r="H1943" s="567">
        <v>3151</v>
      </c>
      <c r="O1943"/>
    </row>
    <row r="1944" spans="1:15" x14ac:dyDescent="0.2">
      <c r="A1944" s="567">
        <v>156</v>
      </c>
      <c r="B1944" s="568" t="s">
        <v>892</v>
      </c>
      <c r="C1944" s="568" t="s">
        <v>891</v>
      </c>
      <c r="D1944" s="567">
        <v>247</v>
      </c>
      <c r="E1944" s="567">
        <v>56</v>
      </c>
      <c r="F1944" s="567">
        <v>20</v>
      </c>
      <c r="G1944" s="567">
        <v>126</v>
      </c>
      <c r="H1944" s="567">
        <v>1190</v>
      </c>
      <c r="O1944"/>
    </row>
    <row r="1945" spans="1:15" x14ac:dyDescent="0.2">
      <c r="A1945" s="567">
        <v>154</v>
      </c>
      <c r="B1945" s="568" t="s">
        <v>892</v>
      </c>
      <c r="C1945" s="568" t="s">
        <v>892</v>
      </c>
      <c r="D1945" s="567">
        <v>245</v>
      </c>
      <c r="E1945" s="567">
        <v>56</v>
      </c>
      <c r="F1945" s="567">
        <v>20</v>
      </c>
      <c r="G1945" s="567">
        <v>126</v>
      </c>
      <c r="H1945" s="567">
        <v>1190</v>
      </c>
      <c r="O1945"/>
    </row>
    <row r="1946" spans="1:15" x14ac:dyDescent="0.2">
      <c r="A1946" s="567">
        <v>155</v>
      </c>
      <c r="B1946" s="568" t="s">
        <v>892</v>
      </c>
      <c r="C1946" s="568" t="s">
        <v>899</v>
      </c>
      <c r="D1946" s="567">
        <v>246</v>
      </c>
      <c r="E1946" s="567">
        <v>56</v>
      </c>
      <c r="F1946" s="567">
        <v>20</v>
      </c>
      <c r="G1946" s="567">
        <v>126</v>
      </c>
      <c r="H1946" s="567">
        <v>1190</v>
      </c>
      <c r="O1946"/>
    </row>
    <row r="1947" spans="1:15" x14ac:dyDescent="0.2">
      <c r="A1947" s="567">
        <v>157</v>
      </c>
      <c r="B1947" s="568" t="s">
        <v>892</v>
      </c>
      <c r="C1947" s="568" t="s">
        <v>900</v>
      </c>
      <c r="D1947" s="567">
        <v>248</v>
      </c>
      <c r="E1947" s="567">
        <v>56</v>
      </c>
      <c r="F1947" s="567">
        <v>20</v>
      </c>
      <c r="G1947" s="567">
        <v>126</v>
      </c>
      <c r="H1947" s="567">
        <v>1190</v>
      </c>
      <c r="O1947"/>
    </row>
    <row r="1948" spans="1:15" x14ac:dyDescent="0.2">
      <c r="A1948" s="567">
        <v>158</v>
      </c>
      <c r="B1948" s="568" t="s">
        <v>892</v>
      </c>
      <c r="C1948" s="568" t="s">
        <v>901</v>
      </c>
      <c r="D1948" s="567">
        <v>249</v>
      </c>
      <c r="E1948" s="567">
        <v>56</v>
      </c>
      <c r="F1948" s="567">
        <v>20</v>
      </c>
      <c r="G1948" s="567">
        <v>126</v>
      </c>
      <c r="H1948" s="567">
        <v>1190</v>
      </c>
      <c r="O1948"/>
    </row>
    <row r="1949" spans="1:15" x14ac:dyDescent="0.2">
      <c r="A1949" s="567">
        <v>159</v>
      </c>
      <c r="B1949" s="568" t="s">
        <v>892</v>
      </c>
      <c r="C1949" s="568" t="s">
        <v>902</v>
      </c>
      <c r="D1949" s="567">
        <v>250</v>
      </c>
      <c r="E1949" s="567">
        <v>56</v>
      </c>
      <c r="F1949" s="567">
        <v>20</v>
      </c>
      <c r="G1949" s="567">
        <v>126</v>
      </c>
      <c r="H1949" s="567">
        <v>1190</v>
      </c>
      <c r="O1949"/>
    </row>
    <row r="1950" spans="1:15" x14ac:dyDescent="0.2">
      <c r="A1950" s="567">
        <v>160</v>
      </c>
      <c r="B1950" s="568" t="s">
        <v>892</v>
      </c>
      <c r="C1950" s="568" t="s">
        <v>903</v>
      </c>
      <c r="D1950" s="567">
        <v>251</v>
      </c>
      <c r="E1950" s="567">
        <v>56</v>
      </c>
      <c r="F1950" s="567">
        <v>20</v>
      </c>
      <c r="G1950" s="567">
        <v>126</v>
      </c>
      <c r="H1950" s="567">
        <v>1190</v>
      </c>
      <c r="O1950"/>
    </row>
    <row r="1951" spans="1:15" x14ac:dyDescent="0.2">
      <c r="A1951" s="567">
        <v>161</v>
      </c>
      <c r="B1951" s="568" t="s">
        <v>892</v>
      </c>
      <c r="C1951" s="568" t="s">
        <v>904</v>
      </c>
      <c r="D1951" s="567">
        <v>252</v>
      </c>
      <c r="E1951" s="567">
        <v>56</v>
      </c>
      <c r="F1951" s="567">
        <v>20</v>
      </c>
      <c r="G1951" s="567">
        <v>126</v>
      </c>
      <c r="H1951" s="567">
        <v>1190</v>
      </c>
      <c r="O1951"/>
    </row>
    <row r="1952" spans="1:15" x14ac:dyDescent="0.2">
      <c r="A1952" s="567">
        <v>2001</v>
      </c>
      <c r="B1952" s="568" t="s">
        <v>1958</v>
      </c>
      <c r="C1952" s="568" t="s">
        <v>1957</v>
      </c>
      <c r="D1952" s="567">
        <v>5677</v>
      </c>
      <c r="E1952" s="567">
        <v>74</v>
      </c>
      <c r="F1952" s="567">
        <v>3</v>
      </c>
      <c r="G1952" s="567">
        <v>315</v>
      </c>
      <c r="H1952" s="567">
        <v>3120</v>
      </c>
      <c r="O1952"/>
    </row>
    <row r="1953" spans="1:15" x14ac:dyDescent="0.2">
      <c r="A1953" s="567">
        <v>1994</v>
      </c>
      <c r="B1953" s="568" t="s">
        <v>1958</v>
      </c>
      <c r="C1953" s="568" t="s">
        <v>1958</v>
      </c>
      <c r="D1953" s="567">
        <v>5670</v>
      </c>
      <c r="E1953" s="567">
        <v>74</v>
      </c>
      <c r="F1953" s="567">
        <v>3</v>
      </c>
      <c r="G1953" s="567">
        <v>315</v>
      </c>
      <c r="H1953" s="567">
        <v>3120</v>
      </c>
      <c r="O1953"/>
    </row>
    <row r="1954" spans="1:15" x14ac:dyDescent="0.2">
      <c r="A1954" s="567">
        <v>1995</v>
      </c>
      <c r="B1954" s="568" t="s">
        <v>1958</v>
      </c>
      <c r="C1954" s="568" t="s">
        <v>1963</v>
      </c>
      <c r="D1954" s="567">
        <v>5671</v>
      </c>
      <c r="E1954" s="567">
        <v>74</v>
      </c>
      <c r="F1954" s="567">
        <v>3</v>
      </c>
      <c r="G1954" s="567">
        <v>315</v>
      </c>
      <c r="H1954" s="567">
        <v>3120</v>
      </c>
      <c r="O1954"/>
    </row>
    <row r="1955" spans="1:15" x14ac:dyDescent="0.2">
      <c r="A1955" s="567">
        <v>1996</v>
      </c>
      <c r="B1955" s="568" t="s">
        <v>1958</v>
      </c>
      <c r="C1955" s="568" t="s">
        <v>1964</v>
      </c>
      <c r="D1955" s="567">
        <v>5672</v>
      </c>
      <c r="E1955" s="567">
        <v>74</v>
      </c>
      <c r="F1955" s="567">
        <v>3</v>
      </c>
      <c r="G1955" s="567">
        <v>315</v>
      </c>
      <c r="H1955" s="567">
        <v>3120</v>
      </c>
      <c r="O1955"/>
    </row>
    <row r="1956" spans="1:15" x14ac:dyDescent="0.2">
      <c r="A1956" s="567">
        <v>1997</v>
      </c>
      <c r="B1956" s="568" t="s">
        <v>1958</v>
      </c>
      <c r="C1956" s="568" t="s">
        <v>1965</v>
      </c>
      <c r="D1956" s="567">
        <v>5673</v>
      </c>
      <c r="E1956" s="567">
        <v>74</v>
      </c>
      <c r="F1956" s="567">
        <v>3</v>
      </c>
      <c r="G1956" s="567">
        <v>315</v>
      </c>
      <c r="H1956" s="567">
        <v>3120</v>
      </c>
      <c r="O1956"/>
    </row>
    <row r="1957" spans="1:15" x14ac:dyDescent="0.2">
      <c r="A1957" s="567">
        <v>1998</v>
      </c>
      <c r="B1957" s="568" t="s">
        <v>1958</v>
      </c>
      <c r="C1957" s="568" t="s">
        <v>1966</v>
      </c>
      <c r="D1957" s="567">
        <v>5674</v>
      </c>
      <c r="E1957" s="567">
        <v>74</v>
      </c>
      <c r="F1957" s="567">
        <v>3</v>
      </c>
      <c r="G1957" s="567">
        <v>315</v>
      </c>
      <c r="H1957" s="567">
        <v>3120</v>
      </c>
      <c r="O1957"/>
    </row>
    <row r="1958" spans="1:15" x14ac:dyDescent="0.2">
      <c r="A1958" s="567">
        <v>2000</v>
      </c>
      <c r="B1958" s="568" t="s">
        <v>1958</v>
      </c>
      <c r="C1958" s="568" t="s">
        <v>1968</v>
      </c>
      <c r="D1958" s="567">
        <v>5676</v>
      </c>
      <c r="E1958" s="567">
        <v>74</v>
      </c>
      <c r="F1958" s="567">
        <v>3</v>
      </c>
      <c r="G1958" s="567">
        <v>315</v>
      </c>
      <c r="H1958" s="567">
        <v>3120</v>
      </c>
      <c r="O1958"/>
    </row>
    <row r="1959" spans="1:15" x14ac:dyDescent="0.2">
      <c r="A1959" s="567">
        <v>1999</v>
      </c>
      <c r="B1959" s="568" t="s">
        <v>1958</v>
      </c>
      <c r="C1959" s="568" t="s">
        <v>1980</v>
      </c>
      <c r="D1959" s="567">
        <v>5675</v>
      </c>
      <c r="E1959" s="567">
        <v>74</v>
      </c>
      <c r="F1959" s="567">
        <v>3</v>
      </c>
      <c r="G1959" s="567">
        <v>315</v>
      </c>
      <c r="H1959" s="567">
        <v>3120</v>
      </c>
      <c r="O1959"/>
    </row>
    <row r="1960" spans="1:15" x14ac:dyDescent="0.2">
      <c r="A1960" s="567">
        <v>486</v>
      </c>
      <c r="B1960" s="568" t="s">
        <v>773</v>
      </c>
      <c r="C1960" s="568" t="s">
        <v>773</v>
      </c>
      <c r="D1960" s="567">
        <v>950</v>
      </c>
      <c r="E1960" s="567">
        <v>53</v>
      </c>
      <c r="F1960" s="567">
        <v>1</v>
      </c>
      <c r="G1960" s="567">
        <v>118</v>
      </c>
      <c r="H1960" s="567">
        <v>1170</v>
      </c>
      <c r="O1960"/>
    </row>
    <row r="1961" spans="1:15" x14ac:dyDescent="0.2">
      <c r="A1961" s="567">
        <v>2944</v>
      </c>
      <c r="B1961" s="568" t="s">
        <v>3272</v>
      </c>
      <c r="C1961" s="568" t="s">
        <v>3272</v>
      </c>
      <c r="D1961" s="567">
        <v>8480</v>
      </c>
      <c r="E1961" s="567">
        <v>81</v>
      </c>
      <c r="F1961" s="567">
        <v>12</v>
      </c>
      <c r="G1961" s="567">
        <v>425</v>
      </c>
      <c r="H1961" s="567">
        <v>4170</v>
      </c>
      <c r="O1961"/>
    </row>
    <row r="1962" spans="1:15" x14ac:dyDescent="0.2">
      <c r="A1962" s="567">
        <v>2694</v>
      </c>
      <c r="B1962" s="568" t="s">
        <v>2881</v>
      </c>
      <c r="C1962" s="568" t="s">
        <v>2880</v>
      </c>
      <c r="D1962" s="567">
        <v>7756</v>
      </c>
      <c r="E1962" s="567">
        <v>53</v>
      </c>
      <c r="F1962" s="567">
        <v>14</v>
      </c>
      <c r="G1962" s="567">
        <v>415</v>
      </c>
      <c r="H1962" s="567">
        <v>4131</v>
      </c>
      <c r="O1962"/>
    </row>
    <row r="1963" spans="1:15" x14ac:dyDescent="0.2">
      <c r="A1963" s="567">
        <v>2688</v>
      </c>
      <c r="B1963" s="568" t="s">
        <v>2881</v>
      </c>
      <c r="C1963" s="568" t="s">
        <v>2881</v>
      </c>
      <c r="D1963" s="567">
        <v>7750</v>
      </c>
      <c r="E1963" s="567">
        <v>53</v>
      </c>
      <c r="F1963" s="567">
        <v>14</v>
      </c>
      <c r="G1963" s="567">
        <v>415</v>
      </c>
      <c r="H1963" s="567">
        <v>4131</v>
      </c>
      <c r="O1963"/>
    </row>
    <row r="1964" spans="1:15" x14ac:dyDescent="0.2">
      <c r="A1964" s="567">
        <v>2689</v>
      </c>
      <c r="B1964" s="568" t="s">
        <v>2881</v>
      </c>
      <c r="C1964" s="568" t="s">
        <v>2887</v>
      </c>
      <c r="D1964" s="567">
        <v>7751</v>
      </c>
      <c r="E1964" s="567">
        <v>53</v>
      </c>
      <c r="F1964" s="567">
        <v>14</v>
      </c>
      <c r="G1964" s="567">
        <v>415</v>
      </c>
      <c r="H1964" s="567">
        <v>4131</v>
      </c>
      <c r="O1964"/>
    </row>
    <row r="1965" spans="1:15" x14ac:dyDescent="0.2">
      <c r="A1965" s="567">
        <v>2690</v>
      </c>
      <c r="B1965" s="568" t="s">
        <v>2881</v>
      </c>
      <c r="C1965" s="568" t="s">
        <v>2888</v>
      </c>
      <c r="D1965" s="567">
        <v>7752</v>
      </c>
      <c r="E1965" s="567">
        <v>53</v>
      </c>
      <c r="F1965" s="567">
        <v>14</v>
      </c>
      <c r="G1965" s="567">
        <v>415</v>
      </c>
      <c r="H1965" s="567">
        <v>4131</v>
      </c>
      <c r="O1965"/>
    </row>
    <row r="1966" spans="1:15" x14ac:dyDescent="0.2">
      <c r="A1966" s="567">
        <v>2691</v>
      </c>
      <c r="B1966" s="568" t="s">
        <v>2881</v>
      </c>
      <c r="C1966" s="568" t="s">
        <v>2889</v>
      </c>
      <c r="D1966" s="567">
        <v>7753</v>
      </c>
      <c r="E1966" s="567">
        <v>53</v>
      </c>
      <c r="F1966" s="567">
        <v>14</v>
      </c>
      <c r="G1966" s="567">
        <v>415</v>
      </c>
      <c r="H1966" s="567">
        <v>4131</v>
      </c>
      <c r="O1966"/>
    </row>
    <row r="1967" spans="1:15" x14ac:dyDescent="0.2">
      <c r="A1967" s="567">
        <v>2693</v>
      </c>
      <c r="B1967" s="568" t="s">
        <v>2881</v>
      </c>
      <c r="C1967" s="568" t="s">
        <v>2892</v>
      </c>
      <c r="D1967" s="567">
        <v>7755</v>
      </c>
      <c r="E1967" s="567">
        <v>53</v>
      </c>
      <c r="F1967" s="567">
        <v>14</v>
      </c>
      <c r="G1967" s="567">
        <v>415</v>
      </c>
      <c r="H1967" s="567">
        <v>4131</v>
      </c>
      <c r="O1967"/>
    </row>
    <row r="1968" spans="1:15" x14ac:dyDescent="0.2">
      <c r="A1968" s="567">
        <v>2695</v>
      </c>
      <c r="B1968" s="568" t="s">
        <v>2881</v>
      </c>
      <c r="C1968" s="568" t="s">
        <v>1983</v>
      </c>
      <c r="D1968" s="567">
        <v>7757</v>
      </c>
      <c r="E1968" s="567">
        <v>53</v>
      </c>
      <c r="F1968" s="567">
        <v>14</v>
      </c>
      <c r="G1968" s="567">
        <v>415</v>
      </c>
      <c r="H1968" s="567">
        <v>4131</v>
      </c>
      <c r="O1968"/>
    </row>
    <row r="1969" spans="1:15" x14ac:dyDescent="0.2">
      <c r="A1969" s="567">
        <v>2696</v>
      </c>
      <c r="B1969" s="568" t="s">
        <v>2881</v>
      </c>
      <c r="C1969" s="568" t="s">
        <v>1951</v>
      </c>
      <c r="D1969" s="567">
        <v>7758</v>
      </c>
      <c r="E1969" s="567">
        <v>53</v>
      </c>
      <c r="F1969" s="567">
        <v>14</v>
      </c>
      <c r="G1969" s="567">
        <v>415</v>
      </c>
      <c r="H1969" s="567">
        <v>4131</v>
      </c>
      <c r="O1969"/>
    </row>
    <row r="1970" spans="1:15" x14ac:dyDescent="0.2">
      <c r="A1970" s="567">
        <v>2697</v>
      </c>
      <c r="B1970" s="568" t="s">
        <v>2881</v>
      </c>
      <c r="C1970" s="568" t="s">
        <v>2894</v>
      </c>
      <c r="D1970" s="567">
        <v>7759</v>
      </c>
      <c r="E1970" s="567">
        <v>53</v>
      </c>
      <c r="F1970" s="567">
        <v>14</v>
      </c>
      <c r="G1970" s="567">
        <v>415</v>
      </c>
      <c r="H1970" s="567">
        <v>4131</v>
      </c>
      <c r="O1970"/>
    </row>
    <row r="1971" spans="1:15" x14ac:dyDescent="0.2">
      <c r="A1971" s="567">
        <v>2698</v>
      </c>
      <c r="B1971" s="568" t="s">
        <v>2881</v>
      </c>
      <c r="C1971" s="568" t="s">
        <v>2895</v>
      </c>
      <c r="D1971" s="567">
        <v>7760</v>
      </c>
      <c r="E1971" s="567">
        <v>53</v>
      </c>
      <c r="F1971" s="567">
        <v>14</v>
      </c>
      <c r="G1971" s="567">
        <v>415</v>
      </c>
      <c r="H1971" s="567">
        <v>4131</v>
      </c>
      <c r="O1971"/>
    </row>
    <row r="1972" spans="1:15" x14ac:dyDescent="0.2">
      <c r="A1972" s="567">
        <v>2699</v>
      </c>
      <c r="B1972" s="568" t="s">
        <v>2881</v>
      </c>
      <c r="C1972" s="568" t="s">
        <v>1747</v>
      </c>
      <c r="D1972" s="567">
        <v>7761</v>
      </c>
      <c r="E1972" s="567">
        <v>53</v>
      </c>
      <c r="F1972" s="567">
        <v>14</v>
      </c>
      <c r="G1972" s="567">
        <v>415</v>
      </c>
      <c r="H1972" s="567">
        <v>4131</v>
      </c>
      <c r="O1972"/>
    </row>
    <row r="1973" spans="1:15" x14ac:dyDescent="0.2">
      <c r="A1973" s="567">
        <v>2700</v>
      </c>
      <c r="B1973" s="568" t="s">
        <v>2881</v>
      </c>
      <c r="C1973" s="568" t="s">
        <v>2896</v>
      </c>
      <c r="D1973" s="567">
        <v>7762</v>
      </c>
      <c r="E1973" s="567">
        <v>53</v>
      </c>
      <c r="F1973" s="567">
        <v>14</v>
      </c>
      <c r="G1973" s="567">
        <v>415</v>
      </c>
      <c r="H1973" s="567">
        <v>4131</v>
      </c>
      <c r="O1973"/>
    </row>
    <row r="1974" spans="1:15" x14ac:dyDescent="0.2">
      <c r="A1974" s="567">
        <v>2692</v>
      </c>
      <c r="B1974" s="568" t="s">
        <v>2881</v>
      </c>
      <c r="C1974" s="568" t="s">
        <v>2447</v>
      </c>
      <c r="D1974" s="567">
        <v>7754</v>
      </c>
      <c r="E1974" s="567">
        <v>53</v>
      </c>
      <c r="F1974" s="567">
        <v>14</v>
      </c>
      <c r="G1974" s="567">
        <v>415</v>
      </c>
      <c r="H1974" s="567">
        <v>4131</v>
      </c>
      <c r="O1974"/>
    </row>
    <row r="1975" spans="1:15" x14ac:dyDescent="0.2">
      <c r="A1975" s="567">
        <v>1968</v>
      </c>
      <c r="B1975" s="568" t="s">
        <v>1991</v>
      </c>
      <c r="C1975" s="568" t="s">
        <v>1990</v>
      </c>
      <c r="D1975" s="567">
        <v>5581</v>
      </c>
      <c r="E1975" s="567">
        <v>130</v>
      </c>
      <c r="F1975" s="567">
        <v>5</v>
      </c>
      <c r="G1975" s="567">
        <v>315</v>
      </c>
      <c r="H1975" s="567">
        <v>3120</v>
      </c>
      <c r="O1975"/>
    </row>
    <row r="1976" spans="1:15" x14ac:dyDescent="0.2">
      <c r="A1976" s="567">
        <v>1967</v>
      </c>
      <c r="B1976" s="568" t="s">
        <v>1991</v>
      </c>
      <c r="C1976" s="568" t="s">
        <v>1998</v>
      </c>
      <c r="D1976" s="567">
        <v>5580</v>
      </c>
      <c r="E1976" s="567">
        <v>130</v>
      </c>
      <c r="F1976" s="567">
        <v>5</v>
      </c>
      <c r="G1976" s="567">
        <v>315</v>
      </c>
      <c r="H1976" s="567">
        <v>3120</v>
      </c>
      <c r="O1976"/>
    </row>
    <row r="1977" spans="1:15" x14ac:dyDescent="0.2">
      <c r="A1977" s="567">
        <v>2456</v>
      </c>
      <c r="B1977" s="568" t="s">
        <v>2503</v>
      </c>
      <c r="C1977" s="568" t="s">
        <v>2502</v>
      </c>
      <c r="D1977" s="567">
        <v>7032</v>
      </c>
      <c r="E1977" s="567">
        <v>76</v>
      </c>
      <c r="F1977" s="567">
        <v>3</v>
      </c>
      <c r="G1977" s="567">
        <v>337</v>
      </c>
      <c r="H1977" s="567">
        <v>3180</v>
      </c>
      <c r="O1977"/>
    </row>
    <row r="1978" spans="1:15" x14ac:dyDescent="0.2">
      <c r="A1978" s="567">
        <v>2457</v>
      </c>
      <c r="B1978" s="568" t="s">
        <v>2503</v>
      </c>
      <c r="C1978" s="568" t="s">
        <v>2504</v>
      </c>
      <c r="D1978" s="567">
        <v>7033</v>
      </c>
      <c r="E1978" s="567">
        <v>76</v>
      </c>
      <c r="F1978" s="567">
        <v>3</v>
      </c>
      <c r="G1978" s="567">
        <v>337</v>
      </c>
      <c r="H1978" s="567">
        <v>3180</v>
      </c>
      <c r="O1978"/>
    </row>
    <row r="1979" spans="1:15" x14ac:dyDescent="0.2">
      <c r="A1979" s="567">
        <v>2454</v>
      </c>
      <c r="B1979" s="568" t="s">
        <v>2503</v>
      </c>
      <c r="C1979" s="568" t="s">
        <v>2503</v>
      </c>
      <c r="D1979" s="567">
        <v>7030</v>
      </c>
      <c r="E1979" s="567">
        <v>76</v>
      </c>
      <c r="F1979" s="567">
        <v>3</v>
      </c>
      <c r="G1979" s="567">
        <v>337</v>
      </c>
      <c r="H1979" s="567">
        <v>3180</v>
      </c>
      <c r="O1979"/>
    </row>
    <row r="1980" spans="1:15" x14ac:dyDescent="0.2">
      <c r="A1980" s="567">
        <v>2455</v>
      </c>
      <c r="B1980" s="568" t="s">
        <v>2503</v>
      </c>
      <c r="C1980" s="568" t="s">
        <v>2525</v>
      </c>
      <c r="D1980" s="567">
        <v>7031</v>
      </c>
      <c r="E1980" s="567">
        <v>76</v>
      </c>
      <c r="F1980" s="567">
        <v>3</v>
      </c>
      <c r="G1980" s="567">
        <v>337</v>
      </c>
      <c r="H1980" s="567">
        <v>3180</v>
      </c>
      <c r="O1980"/>
    </row>
    <row r="1981" spans="1:15" x14ac:dyDescent="0.2">
      <c r="A1981" s="567">
        <v>510</v>
      </c>
      <c r="B1981" s="568" t="s">
        <v>790</v>
      </c>
      <c r="C1981" s="568" t="s">
        <v>790</v>
      </c>
      <c r="D1981" s="567">
        <v>1020</v>
      </c>
      <c r="E1981" s="567">
        <v>54</v>
      </c>
      <c r="F1981" s="567">
        <v>1</v>
      </c>
      <c r="G1981" s="567">
        <v>118</v>
      </c>
      <c r="H1981" s="567">
        <v>1170</v>
      </c>
      <c r="O1981"/>
    </row>
    <row r="1982" spans="1:15" x14ac:dyDescent="0.2">
      <c r="A1982" s="567">
        <v>564</v>
      </c>
      <c r="B1982" s="568" t="s">
        <v>232</v>
      </c>
      <c r="C1982" s="568" t="s">
        <v>231</v>
      </c>
      <c r="D1982" s="567">
        <v>1202</v>
      </c>
      <c r="E1982" s="567">
        <v>44</v>
      </c>
      <c r="F1982" s="567">
        <v>19</v>
      </c>
      <c r="G1982" s="567">
        <v>119</v>
      </c>
      <c r="H1982" s="567">
        <v>1110</v>
      </c>
      <c r="O1982"/>
    </row>
    <row r="1983" spans="1:15" x14ac:dyDescent="0.2">
      <c r="A1983" s="567">
        <v>563</v>
      </c>
      <c r="B1983" s="568" t="s">
        <v>232</v>
      </c>
      <c r="C1983" s="568" t="s">
        <v>233</v>
      </c>
      <c r="D1983" s="567">
        <v>1201</v>
      </c>
      <c r="E1983" s="567">
        <v>44</v>
      </c>
      <c r="F1983" s="567">
        <v>19</v>
      </c>
      <c r="G1983" s="567">
        <v>119</v>
      </c>
      <c r="H1983" s="567">
        <v>1110</v>
      </c>
      <c r="O1983"/>
    </row>
    <row r="1984" spans="1:15" x14ac:dyDescent="0.2">
      <c r="A1984" s="567">
        <v>562</v>
      </c>
      <c r="B1984" s="568" t="s">
        <v>232</v>
      </c>
      <c r="C1984" s="568" t="s">
        <v>232</v>
      </c>
      <c r="D1984" s="567">
        <v>1200</v>
      </c>
      <c r="E1984" s="567">
        <v>44</v>
      </c>
      <c r="F1984" s="567">
        <v>19</v>
      </c>
      <c r="G1984" s="567">
        <v>119</v>
      </c>
      <c r="H1984" s="567">
        <v>1110</v>
      </c>
      <c r="O1984"/>
    </row>
    <row r="1985" spans="1:15" x14ac:dyDescent="0.2">
      <c r="A1985" s="567">
        <v>909</v>
      </c>
      <c r="B1985" s="568" t="s">
        <v>80</v>
      </c>
      <c r="C1985" s="568" t="s">
        <v>80</v>
      </c>
      <c r="D1985" s="567">
        <v>2340</v>
      </c>
      <c r="E1985" s="567">
        <v>44</v>
      </c>
      <c r="F1985" s="567">
        <v>18</v>
      </c>
      <c r="G1985" s="567">
        <v>136</v>
      </c>
      <c r="H1985" s="567">
        <v>1101</v>
      </c>
      <c r="O1985"/>
    </row>
    <row r="1986" spans="1:15" x14ac:dyDescent="0.2">
      <c r="A1986" s="567">
        <v>1570</v>
      </c>
      <c r="B1986" s="568" t="s">
        <v>1652</v>
      </c>
      <c r="C1986" s="568" t="s">
        <v>1651</v>
      </c>
      <c r="D1986" s="567">
        <v>4304</v>
      </c>
      <c r="E1986" s="567">
        <v>46</v>
      </c>
      <c r="F1986" s="567">
        <v>17</v>
      </c>
      <c r="G1986" s="567">
        <v>235</v>
      </c>
      <c r="H1986" s="567">
        <v>2160</v>
      </c>
      <c r="O1986"/>
    </row>
    <row r="1987" spans="1:15" x14ac:dyDescent="0.2">
      <c r="A1987" s="567">
        <v>1573</v>
      </c>
      <c r="B1987" s="568" t="s">
        <v>1652</v>
      </c>
      <c r="C1987" s="568" t="s">
        <v>1658</v>
      </c>
      <c r="D1987" s="567">
        <v>4307</v>
      </c>
      <c r="E1987" s="567">
        <v>46</v>
      </c>
      <c r="F1987" s="567">
        <v>17</v>
      </c>
      <c r="G1987" s="567">
        <v>235</v>
      </c>
      <c r="H1987" s="567">
        <v>2160</v>
      </c>
      <c r="O1987"/>
    </row>
    <row r="1988" spans="1:15" x14ac:dyDescent="0.2">
      <c r="A1988" s="567">
        <v>1572</v>
      </c>
      <c r="B1988" s="568" t="s">
        <v>1652</v>
      </c>
      <c r="C1988" s="568" t="s">
        <v>1659</v>
      </c>
      <c r="D1988" s="567">
        <v>4306</v>
      </c>
      <c r="E1988" s="567">
        <v>46</v>
      </c>
      <c r="F1988" s="567">
        <v>17</v>
      </c>
      <c r="G1988" s="567">
        <v>235</v>
      </c>
      <c r="H1988" s="567">
        <v>2160</v>
      </c>
      <c r="O1988"/>
    </row>
    <row r="1989" spans="1:15" x14ac:dyDescent="0.2">
      <c r="A1989" s="567">
        <v>1571</v>
      </c>
      <c r="B1989" s="568" t="s">
        <v>1652</v>
      </c>
      <c r="C1989" s="568" t="s">
        <v>1660</v>
      </c>
      <c r="D1989" s="567">
        <v>4305</v>
      </c>
      <c r="E1989" s="567">
        <v>46</v>
      </c>
      <c r="F1989" s="567">
        <v>17</v>
      </c>
      <c r="G1989" s="567">
        <v>235</v>
      </c>
      <c r="H1989" s="567">
        <v>2160</v>
      </c>
      <c r="O1989"/>
    </row>
    <row r="1990" spans="1:15" x14ac:dyDescent="0.2">
      <c r="A1990" s="567">
        <v>1568</v>
      </c>
      <c r="B1990" s="568" t="s">
        <v>1652</v>
      </c>
      <c r="C1990" s="568" t="s">
        <v>1661</v>
      </c>
      <c r="D1990" s="567">
        <v>4302</v>
      </c>
      <c r="E1990" s="567">
        <v>46</v>
      </c>
      <c r="F1990" s="567">
        <v>17</v>
      </c>
      <c r="G1990" s="567">
        <v>235</v>
      </c>
      <c r="H1990" s="567">
        <v>2160</v>
      </c>
      <c r="O1990"/>
    </row>
    <row r="1991" spans="1:15" x14ac:dyDescent="0.2">
      <c r="A1991" s="567">
        <v>1569</v>
      </c>
      <c r="B1991" s="568" t="s">
        <v>1652</v>
      </c>
      <c r="C1991" s="568" t="s">
        <v>757</v>
      </c>
      <c r="D1991" s="567">
        <v>4303</v>
      </c>
      <c r="E1991" s="567">
        <v>46</v>
      </c>
      <c r="F1991" s="567">
        <v>17</v>
      </c>
      <c r="G1991" s="567">
        <v>235</v>
      </c>
      <c r="H1991" s="567">
        <v>2160</v>
      </c>
      <c r="O1991"/>
    </row>
    <row r="1992" spans="1:15" x14ac:dyDescent="0.2">
      <c r="A1992" s="567">
        <v>1567</v>
      </c>
      <c r="B1992" s="568" t="s">
        <v>1652</v>
      </c>
      <c r="C1992" s="568" t="s">
        <v>1706</v>
      </c>
      <c r="D1992" s="567">
        <v>4301</v>
      </c>
      <c r="E1992" s="567">
        <v>46</v>
      </c>
      <c r="F1992" s="567">
        <v>17</v>
      </c>
      <c r="G1992" s="567">
        <v>235</v>
      </c>
      <c r="H1992" s="567">
        <v>2160</v>
      </c>
      <c r="O1992"/>
    </row>
    <row r="1993" spans="1:15" x14ac:dyDescent="0.2">
      <c r="A1993" s="567">
        <v>1566</v>
      </c>
      <c r="B1993" s="568" t="s">
        <v>1652</v>
      </c>
      <c r="C1993" s="568" t="s">
        <v>1652</v>
      </c>
      <c r="D1993" s="567">
        <v>4300</v>
      </c>
      <c r="E1993" s="567">
        <v>46</v>
      </c>
      <c r="F1993" s="567">
        <v>17</v>
      </c>
      <c r="G1993" s="567">
        <v>235</v>
      </c>
      <c r="H1993" s="567">
        <v>2160</v>
      </c>
      <c r="O1993"/>
    </row>
    <row r="1994" spans="1:15" x14ac:dyDescent="0.2">
      <c r="A1994" s="567">
        <v>980</v>
      </c>
      <c r="B1994" s="568" t="s">
        <v>505</v>
      </c>
      <c r="C1994" s="568" t="s">
        <v>505</v>
      </c>
      <c r="D1994" s="567">
        <v>2540</v>
      </c>
      <c r="E1994" s="567">
        <v>26</v>
      </c>
      <c r="F1994" s="567">
        <v>14</v>
      </c>
      <c r="G1994" s="567">
        <v>135</v>
      </c>
      <c r="H1994" s="567">
        <v>1140</v>
      </c>
      <c r="O1994"/>
    </row>
    <row r="1995" spans="1:15" x14ac:dyDescent="0.2">
      <c r="A1995" s="567">
        <v>981</v>
      </c>
      <c r="B1995" s="568" t="s">
        <v>505</v>
      </c>
      <c r="C1995" s="568" t="s">
        <v>506</v>
      </c>
      <c r="D1995" s="567">
        <v>2541</v>
      </c>
      <c r="E1995" s="567">
        <v>26</v>
      </c>
      <c r="F1995" s="567">
        <v>14</v>
      </c>
      <c r="G1995" s="567">
        <v>135</v>
      </c>
      <c r="H1995" s="567">
        <v>1140</v>
      </c>
      <c r="O1995"/>
    </row>
    <row r="1996" spans="1:15" x14ac:dyDescent="0.2">
      <c r="A1996" s="567">
        <v>982</v>
      </c>
      <c r="B1996" s="568" t="s">
        <v>505</v>
      </c>
      <c r="C1996" s="568" t="s">
        <v>509</v>
      </c>
      <c r="D1996" s="567">
        <v>2542</v>
      </c>
      <c r="E1996" s="567">
        <v>26</v>
      </c>
      <c r="F1996" s="567">
        <v>14</v>
      </c>
      <c r="G1996" s="567">
        <v>135</v>
      </c>
      <c r="H1996" s="567">
        <v>1140</v>
      </c>
      <c r="O1996"/>
    </row>
    <row r="1997" spans="1:15" x14ac:dyDescent="0.2">
      <c r="A1997" s="567">
        <v>1196</v>
      </c>
      <c r="B1997" s="568" t="s">
        <v>1430</v>
      </c>
      <c r="C1997" s="568" t="s">
        <v>1430</v>
      </c>
      <c r="D1997" s="567">
        <v>3180</v>
      </c>
      <c r="E1997" s="567">
        <v>55</v>
      </c>
      <c r="F1997" s="567">
        <v>2</v>
      </c>
      <c r="G1997" s="567">
        <v>226</v>
      </c>
      <c r="H1997" s="567">
        <v>2130</v>
      </c>
      <c r="O1997"/>
    </row>
    <row r="1998" spans="1:15" x14ac:dyDescent="0.2">
      <c r="A1998" s="567">
        <v>1197</v>
      </c>
      <c r="B1998" s="568" t="s">
        <v>1430</v>
      </c>
      <c r="C1998" s="568" t="s">
        <v>1444</v>
      </c>
      <c r="D1998" s="567">
        <v>3181</v>
      </c>
      <c r="E1998" s="567">
        <v>55</v>
      </c>
      <c r="F1998" s="567">
        <v>2</v>
      </c>
      <c r="G1998" s="567">
        <v>226</v>
      </c>
      <c r="H1998" s="567">
        <v>2130</v>
      </c>
      <c r="O1998"/>
    </row>
    <row r="1999" spans="1:15" x14ac:dyDescent="0.2">
      <c r="A1999" s="567">
        <v>1168</v>
      </c>
      <c r="B1999" s="568" t="s">
        <v>1397</v>
      </c>
      <c r="C1999" s="568" t="s">
        <v>1396</v>
      </c>
      <c r="D1999" s="567">
        <v>3053</v>
      </c>
      <c r="E1999" s="567">
        <v>56</v>
      </c>
      <c r="F1999" s="567">
        <v>21</v>
      </c>
      <c r="G1999" s="567">
        <v>226</v>
      </c>
      <c r="H1999" s="567">
        <v>2130</v>
      </c>
      <c r="O1999"/>
    </row>
    <row r="2000" spans="1:15" x14ac:dyDescent="0.2">
      <c r="A2000" s="567">
        <v>1167</v>
      </c>
      <c r="B2000" s="568" t="s">
        <v>1397</v>
      </c>
      <c r="C2000" s="568" t="s">
        <v>1398</v>
      </c>
      <c r="D2000" s="567">
        <v>3052</v>
      </c>
      <c r="E2000" s="567">
        <v>56</v>
      </c>
      <c r="F2000" s="567">
        <v>21</v>
      </c>
      <c r="G2000" s="567">
        <v>226</v>
      </c>
      <c r="H2000" s="567">
        <v>2130</v>
      </c>
      <c r="O2000"/>
    </row>
    <row r="2001" spans="1:15" x14ac:dyDescent="0.2">
      <c r="A2001" s="567">
        <v>1166</v>
      </c>
      <c r="B2001" s="568" t="s">
        <v>1397</v>
      </c>
      <c r="C2001" s="568" t="s">
        <v>1399</v>
      </c>
      <c r="D2001" s="567">
        <v>3051</v>
      </c>
      <c r="E2001" s="567">
        <v>56</v>
      </c>
      <c r="F2001" s="567">
        <v>21</v>
      </c>
      <c r="G2001" s="567">
        <v>226</v>
      </c>
      <c r="H2001" s="567">
        <v>2130</v>
      </c>
      <c r="O2001"/>
    </row>
    <row r="2002" spans="1:15" x14ac:dyDescent="0.2">
      <c r="A2002" s="567">
        <v>1165</v>
      </c>
      <c r="B2002" s="568" t="s">
        <v>1397</v>
      </c>
      <c r="C2002" s="568" t="s">
        <v>1397</v>
      </c>
      <c r="D2002" s="567">
        <v>3050</v>
      </c>
      <c r="E2002" s="567">
        <v>56</v>
      </c>
      <c r="F2002" s="567">
        <v>21</v>
      </c>
      <c r="G2002" s="567">
        <v>226</v>
      </c>
      <c r="H2002" s="567">
        <v>2130</v>
      </c>
      <c r="O2002"/>
    </row>
    <row r="2003" spans="1:15" x14ac:dyDescent="0.2">
      <c r="A2003" s="567">
        <v>1091</v>
      </c>
      <c r="B2003" s="568" t="s">
        <v>1467</v>
      </c>
      <c r="C2003" s="568" t="s">
        <v>1466</v>
      </c>
      <c r="D2003" s="567">
        <v>2816</v>
      </c>
      <c r="E2003" s="567">
        <v>64</v>
      </c>
      <c r="F2003" s="567">
        <v>21</v>
      </c>
      <c r="G2003" s="567">
        <v>225</v>
      </c>
      <c r="H2003" s="567">
        <v>2140</v>
      </c>
      <c r="O2003"/>
    </row>
    <row r="2004" spans="1:15" x14ac:dyDescent="0.2">
      <c r="A2004" s="567">
        <v>1090</v>
      </c>
      <c r="B2004" s="568" t="s">
        <v>1467</v>
      </c>
      <c r="C2004" s="568" t="s">
        <v>1467</v>
      </c>
      <c r="D2004" s="567">
        <v>2815</v>
      </c>
      <c r="E2004" s="567">
        <v>64</v>
      </c>
      <c r="F2004" s="567">
        <v>21</v>
      </c>
      <c r="G2004" s="567">
        <v>225</v>
      </c>
      <c r="H2004" s="567">
        <v>2140</v>
      </c>
      <c r="O2004"/>
    </row>
    <row r="2005" spans="1:15" x14ac:dyDescent="0.2">
      <c r="A2005" s="567">
        <v>397</v>
      </c>
      <c r="B2005" s="568" t="s">
        <v>558</v>
      </c>
      <c r="C2005" s="568" t="s">
        <v>558</v>
      </c>
      <c r="D2005" s="567">
        <v>720</v>
      </c>
      <c r="E2005" s="567">
        <v>65</v>
      </c>
      <c r="F2005" s="567">
        <v>1</v>
      </c>
      <c r="G2005" s="567">
        <v>125</v>
      </c>
      <c r="H2005" s="567">
        <v>1150</v>
      </c>
      <c r="O2005"/>
    </row>
    <row r="2006" spans="1:15" x14ac:dyDescent="0.2">
      <c r="A2006" s="567">
        <v>398</v>
      </c>
      <c r="B2006" s="568" t="s">
        <v>558</v>
      </c>
      <c r="C2006" s="568" t="s">
        <v>559</v>
      </c>
      <c r="D2006" s="567">
        <v>721</v>
      </c>
      <c r="E2006" s="567">
        <v>65</v>
      </c>
      <c r="F2006" s="567">
        <v>1</v>
      </c>
      <c r="G2006" s="567">
        <v>125</v>
      </c>
      <c r="H2006" s="567">
        <v>1150</v>
      </c>
      <c r="O2006"/>
    </row>
    <row r="2007" spans="1:15" x14ac:dyDescent="0.2">
      <c r="A2007" s="567">
        <v>399</v>
      </c>
      <c r="B2007" s="568" t="s">
        <v>558</v>
      </c>
      <c r="C2007" s="568" t="s">
        <v>560</v>
      </c>
      <c r="D2007" s="567">
        <v>722</v>
      </c>
      <c r="E2007" s="567">
        <v>65</v>
      </c>
      <c r="F2007" s="567">
        <v>1</v>
      </c>
      <c r="G2007" s="567">
        <v>125</v>
      </c>
      <c r="H2007" s="567">
        <v>1150</v>
      </c>
      <c r="O2007"/>
    </row>
    <row r="2008" spans="1:15" x14ac:dyDescent="0.2">
      <c r="A2008" s="567">
        <v>792</v>
      </c>
      <c r="B2008" s="568" t="s">
        <v>845</v>
      </c>
      <c r="C2008" s="568" t="s">
        <v>845</v>
      </c>
      <c r="D2008" s="567">
        <v>1910</v>
      </c>
      <c r="E2008" s="567">
        <v>41</v>
      </c>
      <c r="F2008" s="567">
        <v>2</v>
      </c>
      <c r="G2008" s="567">
        <v>116</v>
      </c>
      <c r="H2008" s="567">
        <v>1180</v>
      </c>
      <c r="O2008"/>
    </row>
    <row r="2009" spans="1:15" x14ac:dyDescent="0.2">
      <c r="A2009" s="567">
        <v>795</v>
      </c>
      <c r="B2009" s="568" t="s">
        <v>842</v>
      </c>
      <c r="C2009" s="568" t="s">
        <v>842</v>
      </c>
      <c r="D2009" s="567">
        <v>1925</v>
      </c>
      <c r="E2009" s="567">
        <v>42</v>
      </c>
      <c r="F2009" s="567">
        <v>2</v>
      </c>
      <c r="G2009" s="567">
        <v>116</v>
      </c>
      <c r="H2009" s="567">
        <v>1180</v>
      </c>
      <c r="O2009"/>
    </row>
    <row r="2010" spans="1:15" x14ac:dyDescent="0.2">
      <c r="A2010" s="567">
        <v>453</v>
      </c>
      <c r="B2010" s="568" t="s">
        <v>613</v>
      </c>
      <c r="C2010" s="568" t="s">
        <v>613</v>
      </c>
      <c r="D2010" s="567">
        <v>870</v>
      </c>
      <c r="E2010" s="567">
        <v>66</v>
      </c>
      <c r="F2010" s="567">
        <v>1</v>
      </c>
      <c r="G2010" s="567">
        <v>125</v>
      </c>
      <c r="H2010" s="567">
        <v>1150</v>
      </c>
      <c r="O2010"/>
    </row>
    <row r="2011" spans="1:15" x14ac:dyDescent="0.2">
      <c r="A2011" s="567">
        <v>1124</v>
      </c>
      <c r="B2011" s="568" t="s">
        <v>1490</v>
      </c>
      <c r="C2011" s="568" t="s">
        <v>1490</v>
      </c>
      <c r="D2011" s="567">
        <v>2905</v>
      </c>
      <c r="E2011" s="567">
        <v>67</v>
      </c>
      <c r="F2011" s="567">
        <v>21</v>
      </c>
      <c r="G2011" s="567">
        <v>225</v>
      </c>
      <c r="H2011" s="567">
        <v>2140</v>
      </c>
      <c r="O2011"/>
    </row>
    <row r="2012" spans="1:15" x14ac:dyDescent="0.2">
      <c r="A2012" s="567">
        <v>2840</v>
      </c>
      <c r="B2012" s="568" t="s">
        <v>3254</v>
      </c>
      <c r="C2012" s="568" t="s">
        <v>3254</v>
      </c>
      <c r="D2012" s="567">
        <v>8165</v>
      </c>
      <c r="E2012" s="567">
        <v>83</v>
      </c>
      <c r="F2012" s="567">
        <v>13</v>
      </c>
      <c r="G2012" s="567">
        <v>425</v>
      </c>
      <c r="H2012" s="567">
        <v>4170</v>
      </c>
      <c r="O2012"/>
    </row>
    <row r="2013" spans="1:15" x14ac:dyDescent="0.2">
      <c r="A2013" s="567">
        <v>2630</v>
      </c>
      <c r="B2013" s="568" t="s">
        <v>2998</v>
      </c>
      <c r="C2013" s="568" t="s">
        <v>2998</v>
      </c>
      <c r="D2013" s="567">
        <v>7550</v>
      </c>
      <c r="E2013" s="567">
        <v>26</v>
      </c>
      <c r="F2013" s="567">
        <v>18</v>
      </c>
      <c r="G2013" s="567">
        <v>416</v>
      </c>
      <c r="H2013" s="567">
        <v>4140</v>
      </c>
      <c r="O2013"/>
    </row>
    <row r="2014" spans="1:15" x14ac:dyDescent="0.2">
      <c r="A2014" s="567">
        <v>1192</v>
      </c>
      <c r="B2014" s="568" t="s">
        <v>1439</v>
      </c>
      <c r="C2014" s="568" t="s">
        <v>1439</v>
      </c>
      <c r="D2014" s="567">
        <v>3165</v>
      </c>
      <c r="E2014" s="567">
        <v>58</v>
      </c>
      <c r="F2014" s="567">
        <v>2</v>
      </c>
      <c r="G2014" s="567">
        <v>226</v>
      </c>
      <c r="H2014" s="567">
        <v>2130</v>
      </c>
      <c r="O2014"/>
    </row>
    <row r="2015" spans="1:15" x14ac:dyDescent="0.2">
      <c r="A2015" s="567">
        <v>775</v>
      </c>
      <c r="B2015" s="568" t="s">
        <v>807</v>
      </c>
      <c r="C2015" s="568" t="s">
        <v>807</v>
      </c>
      <c r="D2015" s="567">
        <v>1850</v>
      </c>
      <c r="E2015" s="567">
        <v>43</v>
      </c>
      <c r="F2015" s="567">
        <v>14</v>
      </c>
      <c r="G2015" s="567">
        <v>116</v>
      </c>
      <c r="H2015" s="567">
        <v>1180</v>
      </c>
      <c r="O2015"/>
    </row>
    <row r="2016" spans="1:15" x14ac:dyDescent="0.2">
      <c r="A2016" s="567">
        <v>2860</v>
      </c>
      <c r="B2016" s="568" t="s">
        <v>855</v>
      </c>
      <c r="C2016" s="568" t="s">
        <v>3212</v>
      </c>
      <c r="D2016" s="567">
        <v>8241</v>
      </c>
      <c r="E2016" s="567">
        <v>84</v>
      </c>
      <c r="F2016" s="567">
        <v>14</v>
      </c>
      <c r="G2016" s="567">
        <v>425</v>
      </c>
      <c r="H2016" s="567">
        <v>4170</v>
      </c>
      <c r="O2016"/>
    </row>
    <row r="2017" spans="1:15" x14ac:dyDescent="0.2">
      <c r="A2017" s="567">
        <v>2859</v>
      </c>
      <c r="B2017" s="568" t="s">
        <v>855</v>
      </c>
      <c r="C2017" s="568" t="s">
        <v>855</v>
      </c>
      <c r="D2017" s="567">
        <v>8240</v>
      </c>
      <c r="E2017" s="567">
        <v>84</v>
      </c>
      <c r="F2017" s="567">
        <v>14</v>
      </c>
      <c r="G2017" s="567">
        <v>425</v>
      </c>
      <c r="H2017" s="567">
        <v>4170</v>
      </c>
      <c r="O2017"/>
    </row>
    <row r="2018" spans="1:15" x14ac:dyDescent="0.2">
      <c r="A2018" s="567">
        <v>2844</v>
      </c>
      <c r="B2018" s="568" t="s">
        <v>3258</v>
      </c>
      <c r="C2018" s="568" t="s">
        <v>3258</v>
      </c>
      <c r="D2018" s="567">
        <v>8185</v>
      </c>
      <c r="E2018" s="567">
        <v>85</v>
      </c>
      <c r="F2018" s="567">
        <v>13</v>
      </c>
      <c r="G2018" s="567">
        <v>425</v>
      </c>
      <c r="H2018" s="567">
        <v>4170</v>
      </c>
      <c r="O2018"/>
    </row>
    <row r="2019" spans="1:15" x14ac:dyDescent="0.2">
      <c r="A2019" s="567">
        <v>951</v>
      </c>
      <c r="B2019" s="568" t="s">
        <v>109</v>
      </c>
      <c r="C2019" s="568" t="s">
        <v>108</v>
      </c>
      <c r="D2019" s="567">
        <v>2455</v>
      </c>
      <c r="E2019" s="567">
        <v>45</v>
      </c>
      <c r="F2019" s="567">
        <v>14</v>
      </c>
      <c r="G2019" s="567">
        <v>136</v>
      </c>
      <c r="H2019" s="567">
        <v>1101</v>
      </c>
      <c r="O2019"/>
    </row>
    <row r="2020" spans="1:15" x14ac:dyDescent="0.2">
      <c r="A2020" s="567">
        <v>948</v>
      </c>
      <c r="B2020" s="568" t="s">
        <v>109</v>
      </c>
      <c r="C2020" s="568" t="s">
        <v>120</v>
      </c>
      <c r="D2020" s="567">
        <v>2452</v>
      </c>
      <c r="E2020" s="567">
        <v>45</v>
      </c>
      <c r="F2020" s="567">
        <v>14</v>
      </c>
      <c r="G2020" s="567">
        <v>136</v>
      </c>
      <c r="H2020" s="567">
        <v>1101</v>
      </c>
      <c r="O2020"/>
    </row>
    <row r="2021" spans="1:15" x14ac:dyDescent="0.2">
      <c r="A2021" s="567">
        <v>950</v>
      </c>
      <c r="B2021" s="568" t="s">
        <v>109</v>
      </c>
      <c r="C2021" s="568" t="s">
        <v>144</v>
      </c>
      <c r="D2021" s="567">
        <v>2454</v>
      </c>
      <c r="E2021" s="567">
        <v>45</v>
      </c>
      <c r="F2021" s="567">
        <v>14</v>
      </c>
      <c r="G2021" s="567">
        <v>136</v>
      </c>
      <c r="H2021" s="567">
        <v>1101</v>
      </c>
      <c r="O2021"/>
    </row>
    <row r="2022" spans="1:15" x14ac:dyDescent="0.2">
      <c r="A2022" s="567">
        <v>949</v>
      </c>
      <c r="B2022" s="568" t="s">
        <v>109</v>
      </c>
      <c r="C2022" s="568" t="s">
        <v>146</v>
      </c>
      <c r="D2022" s="567">
        <v>2453</v>
      </c>
      <c r="E2022" s="567">
        <v>45</v>
      </c>
      <c r="F2022" s="567">
        <v>14</v>
      </c>
      <c r="G2022" s="567">
        <v>136</v>
      </c>
      <c r="H2022" s="567">
        <v>1101</v>
      </c>
      <c r="O2022"/>
    </row>
    <row r="2023" spans="1:15" x14ac:dyDescent="0.2">
      <c r="A2023" s="567">
        <v>946</v>
      </c>
      <c r="B2023" s="568" t="s">
        <v>109</v>
      </c>
      <c r="C2023" s="568" t="s">
        <v>109</v>
      </c>
      <c r="D2023" s="567">
        <v>2450</v>
      </c>
      <c r="E2023" s="567">
        <v>45</v>
      </c>
      <c r="F2023" s="567">
        <v>14</v>
      </c>
      <c r="G2023" s="567">
        <v>136</v>
      </c>
      <c r="H2023" s="567">
        <v>1101</v>
      </c>
      <c r="O2023"/>
    </row>
    <row r="2024" spans="1:15" x14ac:dyDescent="0.2">
      <c r="A2024" s="567">
        <v>947</v>
      </c>
      <c r="B2024" s="568" t="s">
        <v>109</v>
      </c>
      <c r="C2024" s="568" t="s">
        <v>154</v>
      </c>
      <c r="D2024" s="567">
        <v>2451</v>
      </c>
      <c r="E2024" s="567">
        <v>45</v>
      </c>
      <c r="F2024" s="567">
        <v>14</v>
      </c>
      <c r="G2024" s="567">
        <v>136</v>
      </c>
      <c r="H2024" s="567">
        <v>1101</v>
      </c>
      <c r="O2024"/>
    </row>
    <row r="2025" spans="1:15" x14ac:dyDescent="0.2">
      <c r="A2025" s="567">
        <v>1536</v>
      </c>
      <c r="B2025" s="568" t="s">
        <v>1689</v>
      </c>
      <c r="C2025" s="568" t="s">
        <v>1689</v>
      </c>
      <c r="D2025" s="567">
        <v>4230</v>
      </c>
      <c r="E2025" s="567">
        <v>47</v>
      </c>
      <c r="F2025" s="567">
        <v>7</v>
      </c>
      <c r="G2025" s="567">
        <v>235</v>
      </c>
      <c r="H2025" s="567">
        <v>2160</v>
      </c>
      <c r="O2025"/>
    </row>
    <row r="2026" spans="1:15" x14ac:dyDescent="0.2">
      <c r="A2026" s="567">
        <v>1537</v>
      </c>
      <c r="B2026" s="568" t="s">
        <v>1689</v>
      </c>
      <c r="C2026" s="568" t="s">
        <v>1690</v>
      </c>
      <c r="D2026" s="567">
        <v>4231</v>
      </c>
      <c r="E2026" s="567">
        <v>47</v>
      </c>
      <c r="F2026" s="567">
        <v>7</v>
      </c>
      <c r="G2026" s="567">
        <v>235</v>
      </c>
      <c r="H2026" s="567">
        <v>2160</v>
      </c>
      <c r="O2026"/>
    </row>
    <row r="2027" spans="1:15" x14ac:dyDescent="0.2">
      <c r="A2027" s="567">
        <v>1538</v>
      </c>
      <c r="B2027" s="568" t="s">
        <v>1689</v>
      </c>
      <c r="C2027" s="568" t="s">
        <v>1691</v>
      </c>
      <c r="D2027" s="567">
        <v>4232</v>
      </c>
      <c r="E2027" s="567">
        <v>47</v>
      </c>
      <c r="F2027" s="567">
        <v>7</v>
      </c>
      <c r="G2027" s="567">
        <v>235</v>
      </c>
      <c r="H2027" s="567">
        <v>2160</v>
      </c>
      <c r="O2027"/>
    </row>
    <row r="2028" spans="1:15" x14ac:dyDescent="0.2">
      <c r="A2028" s="567">
        <v>1539</v>
      </c>
      <c r="B2028" s="568" t="s">
        <v>1689</v>
      </c>
      <c r="C2028" s="568" t="s">
        <v>1692</v>
      </c>
      <c r="D2028" s="567">
        <v>4233</v>
      </c>
      <c r="E2028" s="567">
        <v>47</v>
      </c>
      <c r="F2028" s="567">
        <v>7</v>
      </c>
      <c r="G2028" s="567">
        <v>235</v>
      </c>
      <c r="H2028" s="567">
        <v>2160</v>
      </c>
      <c r="O2028"/>
    </row>
    <row r="2029" spans="1:15" x14ac:dyDescent="0.2">
      <c r="A2029" s="567">
        <v>1540</v>
      </c>
      <c r="B2029" s="568" t="s">
        <v>1689</v>
      </c>
      <c r="C2029" s="568" t="s">
        <v>1693</v>
      </c>
      <c r="D2029" s="567">
        <v>4234</v>
      </c>
      <c r="E2029" s="567">
        <v>47</v>
      </c>
      <c r="F2029" s="567">
        <v>7</v>
      </c>
      <c r="G2029" s="567">
        <v>235</v>
      </c>
      <c r="H2029" s="567">
        <v>2160</v>
      </c>
      <c r="O2029"/>
    </row>
    <row r="2030" spans="1:15" x14ac:dyDescent="0.2">
      <c r="A2030" s="567">
        <v>359</v>
      </c>
      <c r="B2030" s="568" t="s">
        <v>575</v>
      </c>
      <c r="C2030" s="568" t="s">
        <v>575</v>
      </c>
      <c r="D2030" s="567">
        <v>635</v>
      </c>
      <c r="E2030" s="567">
        <v>68</v>
      </c>
      <c r="F2030" s="567">
        <v>2</v>
      </c>
      <c r="G2030" s="567">
        <v>125</v>
      </c>
      <c r="H2030" s="567">
        <v>1150</v>
      </c>
      <c r="O2030"/>
    </row>
    <row r="2031" spans="1:15" x14ac:dyDescent="0.2">
      <c r="A2031" s="567">
        <v>361</v>
      </c>
      <c r="B2031" s="568" t="s">
        <v>575</v>
      </c>
      <c r="C2031" s="568" t="s">
        <v>576</v>
      </c>
      <c r="D2031" s="567">
        <v>637</v>
      </c>
      <c r="E2031" s="567">
        <v>68</v>
      </c>
      <c r="F2031" s="567">
        <v>2</v>
      </c>
      <c r="G2031" s="567">
        <v>125</v>
      </c>
      <c r="H2031" s="567">
        <v>1150</v>
      </c>
      <c r="O2031"/>
    </row>
    <row r="2032" spans="1:15" x14ac:dyDescent="0.2">
      <c r="A2032" s="567">
        <v>360</v>
      </c>
      <c r="B2032" s="568" t="s">
        <v>575</v>
      </c>
      <c r="C2032" s="568" t="s">
        <v>590</v>
      </c>
      <c r="D2032" s="567">
        <v>636</v>
      </c>
      <c r="E2032" s="567">
        <v>68</v>
      </c>
      <c r="F2032" s="567">
        <v>2</v>
      </c>
      <c r="G2032" s="567">
        <v>125</v>
      </c>
      <c r="H2032" s="567">
        <v>1150</v>
      </c>
      <c r="O2032"/>
    </row>
    <row r="2033" spans="1:15" x14ac:dyDescent="0.2">
      <c r="A2033" s="567">
        <v>1468</v>
      </c>
      <c r="B2033" s="568" t="s">
        <v>1275</v>
      </c>
      <c r="C2033" s="568" t="s">
        <v>1595</v>
      </c>
      <c r="D2033" s="567">
        <v>4033</v>
      </c>
      <c r="E2033" s="567">
        <v>43</v>
      </c>
      <c r="F2033" s="567">
        <v>7</v>
      </c>
      <c r="G2033" s="567">
        <v>236</v>
      </c>
      <c r="H2033" s="567">
        <v>2150</v>
      </c>
      <c r="O2033"/>
    </row>
    <row r="2034" spans="1:15" x14ac:dyDescent="0.2">
      <c r="A2034" s="567">
        <v>1465</v>
      </c>
      <c r="B2034" s="568" t="s">
        <v>1275</v>
      </c>
      <c r="C2034" s="568" t="s">
        <v>1275</v>
      </c>
      <c r="D2034" s="567">
        <v>4030</v>
      </c>
      <c r="E2034" s="567">
        <v>43</v>
      </c>
      <c r="F2034" s="567">
        <v>7</v>
      </c>
      <c r="G2034" s="567">
        <v>236</v>
      </c>
      <c r="H2034" s="567">
        <v>2150</v>
      </c>
      <c r="O2034"/>
    </row>
    <row r="2035" spans="1:15" x14ac:dyDescent="0.2">
      <c r="A2035" s="567">
        <v>1467</v>
      </c>
      <c r="B2035" s="568" t="s">
        <v>1275</v>
      </c>
      <c r="C2035" s="568" t="s">
        <v>1606</v>
      </c>
      <c r="D2035" s="567">
        <v>4032</v>
      </c>
      <c r="E2035" s="567">
        <v>43</v>
      </c>
      <c r="F2035" s="567">
        <v>7</v>
      </c>
      <c r="G2035" s="567">
        <v>236</v>
      </c>
      <c r="H2035" s="567">
        <v>2150</v>
      </c>
      <c r="O2035"/>
    </row>
    <row r="2036" spans="1:15" x14ac:dyDescent="0.2">
      <c r="A2036" s="567">
        <v>1466</v>
      </c>
      <c r="B2036" s="568" t="s">
        <v>1275</v>
      </c>
      <c r="C2036" s="568" t="s">
        <v>1616</v>
      </c>
      <c r="D2036" s="567">
        <v>4031</v>
      </c>
      <c r="E2036" s="567">
        <v>43</v>
      </c>
      <c r="F2036" s="567">
        <v>7</v>
      </c>
      <c r="G2036" s="567">
        <v>236</v>
      </c>
      <c r="H2036" s="567">
        <v>2150</v>
      </c>
      <c r="O2036"/>
    </row>
    <row r="2037" spans="1:15" x14ac:dyDescent="0.2">
      <c r="A2037" s="567">
        <v>2007</v>
      </c>
      <c r="B2037" s="568" t="s">
        <v>1886</v>
      </c>
      <c r="C2037" s="568" t="s">
        <v>1885</v>
      </c>
      <c r="D2037" s="567">
        <v>5701</v>
      </c>
      <c r="E2037" s="567">
        <v>76</v>
      </c>
      <c r="F2037" s="567">
        <v>3</v>
      </c>
      <c r="G2037" s="567">
        <v>315</v>
      </c>
      <c r="H2037" s="567">
        <v>3120</v>
      </c>
      <c r="O2037"/>
    </row>
    <row r="2038" spans="1:15" x14ac:dyDescent="0.2">
      <c r="A2038" s="567">
        <v>2006</v>
      </c>
      <c r="B2038" s="568" t="s">
        <v>1886</v>
      </c>
      <c r="C2038" s="568" t="s">
        <v>1973</v>
      </c>
      <c r="D2038" s="567">
        <v>5700</v>
      </c>
      <c r="E2038" s="567">
        <v>76</v>
      </c>
      <c r="F2038" s="567">
        <v>3</v>
      </c>
      <c r="G2038" s="567">
        <v>315</v>
      </c>
      <c r="H2038" s="567">
        <v>3120</v>
      </c>
      <c r="O2038"/>
    </row>
    <row r="2039" spans="1:15" x14ac:dyDescent="0.2">
      <c r="A2039" s="567">
        <v>2008</v>
      </c>
      <c r="B2039" s="568" t="s">
        <v>1886</v>
      </c>
      <c r="C2039" s="568" t="s">
        <v>1974</v>
      </c>
      <c r="D2039" s="567">
        <v>5702</v>
      </c>
      <c r="E2039" s="567">
        <v>76</v>
      </c>
      <c r="F2039" s="567">
        <v>3</v>
      </c>
      <c r="G2039" s="567">
        <v>315</v>
      </c>
      <c r="H2039" s="567">
        <v>3120</v>
      </c>
      <c r="O2039"/>
    </row>
    <row r="2040" spans="1:15" x14ac:dyDescent="0.2">
      <c r="A2040" s="567">
        <v>2009</v>
      </c>
      <c r="B2040" s="568" t="s">
        <v>1886</v>
      </c>
      <c r="C2040" s="568" t="s">
        <v>1975</v>
      </c>
      <c r="D2040" s="567">
        <v>5703</v>
      </c>
      <c r="E2040" s="567">
        <v>76</v>
      </c>
      <c r="F2040" s="567">
        <v>3</v>
      </c>
      <c r="G2040" s="567">
        <v>315</v>
      </c>
      <c r="H2040" s="567">
        <v>3120</v>
      </c>
      <c r="O2040"/>
    </row>
    <row r="2041" spans="1:15" x14ac:dyDescent="0.2">
      <c r="A2041" s="567">
        <v>370</v>
      </c>
      <c r="B2041" s="568" t="s">
        <v>586</v>
      </c>
      <c r="C2041" s="568" t="s">
        <v>585</v>
      </c>
      <c r="D2041" s="567">
        <v>660</v>
      </c>
      <c r="E2041" s="567">
        <v>69</v>
      </c>
      <c r="F2041" s="567">
        <v>1</v>
      </c>
      <c r="G2041" s="567">
        <v>125</v>
      </c>
      <c r="H2041" s="567">
        <v>1150</v>
      </c>
      <c r="O2041"/>
    </row>
    <row r="2042" spans="1:15" x14ac:dyDescent="0.2">
      <c r="A2042" s="567">
        <v>371</v>
      </c>
      <c r="B2042" s="568" t="s">
        <v>586</v>
      </c>
      <c r="C2042" s="568" t="s">
        <v>210</v>
      </c>
      <c r="D2042" s="567">
        <v>661</v>
      </c>
      <c r="E2042" s="567">
        <v>69</v>
      </c>
      <c r="F2042" s="567">
        <v>1</v>
      </c>
      <c r="G2042" s="567">
        <v>125</v>
      </c>
      <c r="H2042" s="567">
        <v>1150</v>
      </c>
      <c r="O2042"/>
    </row>
    <row r="2043" spans="1:15" x14ac:dyDescent="0.2">
      <c r="A2043" s="567">
        <v>372</v>
      </c>
      <c r="B2043" s="568" t="s">
        <v>586</v>
      </c>
      <c r="C2043" s="568" t="s">
        <v>587</v>
      </c>
      <c r="D2043" s="567">
        <v>662</v>
      </c>
      <c r="E2043" s="567">
        <v>69</v>
      </c>
      <c r="F2043" s="567">
        <v>1</v>
      </c>
      <c r="G2043" s="567">
        <v>125</v>
      </c>
      <c r="H2043" s="567">
        <v>1150</v>
      </c>
      <c r="O2043"/>
    </row>
    <row r="2044" spans="1:15" x14ac:dyDescent="0.2">
      <c r="A2044" s="567">
        <v>373</v>
      </c>
      <c r="B2044" s="568" t="s">
        <v>586</v>
      </c>
      <c r="C2044" s="568" t="s">
        <v>588</v>
      </c>
      <c r="D2044" s="567">
        <v>663</v>
      </c>
      <c r="E2044" s="567">
        <v>69</v>
      </c>
      <c r="F2044" s="567">
        <v>1</v>
      </c>
      <c r="G2044" s="567">
        <v>125</v>
      </c>
      <c r="H2044" s="567">
        <v>1150</v>
      </c>
      <c r="O2044"/>
    </row>
    <row r="2045" spans="1:15" x14ac:dyDescent="0.2">
      <c r="A2045" s="567">
        <v>374</v>
      </c>
      <c r="B2045" s="568" t="s">
        <v>586</v>
      </c>
      <c r="C2045" s="568" t="s">
        <v>589</v>
      </c>
      <c r="D2045" s="567">
        <v>664</v>
      </c>
      <c r="E2045" s="567">
        <v>69</v>
      </c>
      <c r="F2045" s="567">
        <v>1</v>
      </c>
      <c r="G2045" s="567">
        <v>125</v>
      </c>
      <c r="H2045" s="567">
        <v>1150</v>
      </c>
      <c r="O2045"/>
    </row>
    <row r="2046" spans="1:15" x14ac:dyDescent="0.2">
      <c r="A2046" s="567">
        <v>207</v>
      </c>
      <c r="B2046" s="568" t="s">
        <v>894</v>
      </c>
      <c r="C2046" s="568" t="s">
        <v>893</v>
      </c>
      <c r="D2046" s="567">
        <v>331</v>
      </c>
      <c r="E2046" s="567">
        <v>58</v>
      </c>
      <c r="F2046" s="567">
        <v>2</v>
      </c>
      <c r="G2046" s="567">
        <v>126</v>
      </c>
      <c r="H2046" s="567">
        <v>1190</v>
      </c>
      <c r="O2046"/>
    </row>
    <row r="2047" spans="1:15" x14ac:dyDescent="0.2">
      <c r="A2047" s="567">
        <v>208</v>
      </c>
      <c r="B2047" s="568" t="s">
        <v>894</v>
      </c>
      <c r="C2047" s="568" t="s">
        <v>906</v>
      </c>
      <c r="D2047" s="567">
        <v>332</v>
      </c>
      <c r="E2047" s="567">
        <v>58</v>
      </c>
      <c r="F2047" s="567">
        <v>2</v>
      </c>
      <c r="G2047" s="567">
        <v>126</v>
      </c>
      <c r="H2047" s="567">
        <v>1190</v>
      </c>
      <c r="O2047"/>
    </row>
    <row r="2048" spans="1:15" x14ac:dyDescent="0.2">
      <c r="A2048" s="567">
        <v>201</v>
      </c>
      <c r="B2048" s="568" t="s">
        <v>894</v>
      </c>
      <c r="C2048" s="568" t="s">
        <v>894</v>
      </c>
      <c r="D2048" s="567">
        <v>325</v>
      </c>
      <c r="E2048" s="567">
        <v>58</v>
      </c>
      <c r="F2048" s="567">
        <v>2</v>
      </c>
      <c r="G2048" s="567">
        <v>126</v>
      </c>
      <c r="H2048" s="567">
        <v>1190</v>
      </c>
      <c r="O2048"/>
    </row>
    <row r="2049" spans="1:15" x14ac:dyDescent="0.2">
      <c r="A2049" s="567">
        <v>202</v>
      </c>
      <c r="B2049" s="568" t="s">
        <v>894</v>
      </c>
      <c r="C2049" s="568" t="s">
        <v>955</v>
      </c>
      <c r="D2049" s="567">
        <v>326</v>
      </c>
      <c r="E2049" s="567">
        <v>58</v>
      </c>
      <c r="F2049" s="567">
        <v>2</v>
      </c>
      <c r="G2049" s="567">
        <v>126</v>
      </c>
      <c r="H2049" s="567">
        <v>1190</v>
      </c>
      <c r="O2049"/>
    </row>
    <row r="2050" spans="1:15" x14ac:dyDescent="0.2">
      <c r="A2050" s="567">
        <v>203</v>
      </c>
      <c r="B2050" s="568" t="s">
        <v>894</v>
      </c>
      <c r="C2050" s="568" t="s">
        <v>956</v>
      </c>
      <c r="D2050" s="567">
        <v>327</v>
      </c>
      <c r="E2050" s="567">
        <v>58</v>
      </c>
      <c r="F2050" s="567">
        <v>2</v>
      </c>
      <c r="G2050" s="567">
        <v>126</v>
      </c>
      <c r="H2050" s="567">
        <v>1190</v>
      </c>
      <c r="O2050"/>
    </row>
    <row r="2051" spans="1:15" x14ac:dyDescent="0.2">
      <c r="A2051" s="567">
        <v>204</v>
      </c>
      <c r="B2051" s="568" t="s">
        <v>894</v>
      </c>
      <c r="C2051" s="568" t="s">
        <v>957</v>
      </c>
      <c r="D2051" s="567">
        <v>328</v>
      </c>
      <c r="E2051" s="567">
        <v>58</v>
      </c>
      <c r="F2051" s="567">
        <v>2</v>
      </c>
      <c r="G2051" s="567">
        <v>126</v>
      </c>
      <c r="H2051" s="567">
        <v>1190</v>
      </c>
      <c r="O2051"/>
    </row>
    <row r="2052" spans="1:15" x14ac:dyDescent="0.2">
      <c r="A2052" s="567">
        <v>206</v>
      </c>
      <c r="B2052" s="568" t="s">
        <v>894</v>
      </c>
      <c r="C2052" s="568" t="s">
        <v>960</v>
      </c>
      <c r="D2052" s="567">
        <v>330</v>
      </c>
      <c r="E2052" s="567">
        <v>58</v>
      </c>
      <c r="F2052" s="567">
        <v>2</v>
      </c>
      <c r="G2052" s="567">
        <v>126</v>
      </c>
      <c r="H2052" s="567">
        <v>1190</v>
      </c>
      <c r="O2052"/>
    </row>
    <row r="2053" spans="1:15" x14ac:dyDescent="0.2">
      <c r="A2053" s="567">
        <v>205</v>
      </c>
      <c r="B2053" s="568" t="s">
        <v>894</v>
      </c>
      <c r="C2053" s="568" t="s">
        <v>969</v>
      </c>
      <c r="D2053" s="567">
        <v>329</v>
      </c>
      <c r="E2053" s="567">
        <v>58</v>
      </c>
      <c r="F2053" s="567">
        <v>2</v>
      </c>
      <c r="G2053" s="567">
        <v>126</v>
      </c>
      <c r="H2053" s="567">
        <v>1190</v>
      </c>
      <c r="O2053"/>
    </row>
    <row r="2054" spans="1:15" x14ac:dyDescent="0.2">
      <c r="A2054" s="567">
        <v>2487</v>
      </c>
      <c r="B2054" s="568" t="s">
        <v>2070</v>
      </c>
      <c r="C2054" s="568" t="s">
        <v>2070</v>
      </c>
      <c r="D2054" s="567">
        <v>7140</v>
      </c>
      <c r="E2054" s="567">
        <v>60</v>
      </c>
      <c r="F2054" s="567">
        <v>5</v>
      </c>
      <c r="G2054" s="567">
        <v>336</v>
      </c>
      <c r="H2054" s="567">
        <v>3130</v>
      </c>
      <c r="O2054"/>
    </row>
    <row r="2055" spans="1:15" x14ac:dyDescent="0.2">
      <c r="A2055" s="567">
        <v>802</v>
      </c>
      <c r="B2055" s="568" t="s">
        <v>836</v>
      </c>
      <c r="C2055" s="568" t="s">
        <v>835</v>
      </c>
      <c r="D2055" s="567">
        <v>1956</v>
      </c>
      <c r="E2055" s="567">
        <v>46</v>
      </c>
      <c r="F2055" s="567">
        <v>18</v>
      </c>
      <c r="G2055" s="567">
        <v>116</v>
      </c>
      <c r="H2055" s="567">
        <v>1180</v>
      </c>
      <c r="O2055"/>
    </row>
    <row r="2056" spans="1:15" x14ac:dyDescent="0.2">
      <c r="A2056" s="567">
        <v>801</v>
      </c>
      <c r="B2056" s="568" t="s">
        <v>836</v>
      </c>
      <c r="C2056" s="568" t="s">
        <v>836</v>
      </c>
      <c r="D2056" s="567">
        <v>1955</v>
      </c>
      <c r="E2056" s="567">
        <v>46</v>
      </c>
      <c r="F2056" s="567">
        <v>18</v>
      </c>
      <c r="G2056" s="567">
        <v>116</v>
      </c>
      <c r="H2056" s="567">
        <v>1180</v>
      </c>
      <c r="O2056"/>
    </row>
    <row r="2057" spans="1:15" x14ac:dyDescent="0.2">
      <c r="A2057" s="567">
        <v>3104</v>
      </c>
      <c r="B2057" s="568" t="s">
        <v>2413</v>
      </c>
      <c r="C2057" s="568" t="s">
        <v>2413</v>
      </c>
      <c r="D2057" s="567">
        <v>8980</v>
      </c>
      <c r="E2057" s="567">
        <v>82</v>
      </c>
      <c r="F2057" s="567">
        <v>14</v>
      </c>
      <c r="G2057" s="567">
        <v>437</v>
      </c>
      <c r="H2057" s="567">
        <v>4151</v>
      </c>
      <c r="O2057"/>
    </row>
    <row r="2058" spans="1:15" x14ac:dyDescent="0.2">
      <c r="A2058" s="567">
        <v>1475</v>
      </c>
      <c r="B2058" s="568" t="s">
        <v>879</v>
      </c>
      <c r="C2058" s="568" t="s">
        <v>879</v>
      </c>
      <c r="D2058" s="567">
        <v>4060</v>
      </c>
      <c r="E2058" s="567">
        <v>44</v>
      </c>
      <c r="F2058" s="567">
        <v>17</v>
      </c>
      <c r="G2058" s="567">
        <v>236</v>
      </c>
      <c r="H2058" s="567">
        <v>2150</v>
      </c>
      <c r="O2058"/>
    </row>
    <row r="2059" spans="1:15" x14ac:dyDescent="0.2">
      <c r="A2059" s="567">
        <v>1476</v>
      </c>
      <c r="B2059" s="568" t="s">
        <v>879</v>
      </c>
      <c r="C2059" s="568" t="s">
        <v>1613</v>
      </c>
      <c r="D2059" s="567">
        <v>4061</v>
      </c>
      <c r="E2059" s="567">
        <v>44</v>
      </c>
      <c r="F2059" s="567">
        <v>17</v>
      </c>
      <c r="G2059" s="567">
        <v>236</v>
      </c>
      <c r="H2059" s="567">
        <v>2150</v>
      </c>
      <c r="O2059"/>
    </row>
    <row r="2060" spans="1:15" x14ac:dyDescent="0.2">
      <c r="A2060" s="567">
        <v>1477</v>
      </c>
      <c r="B2060" s="568" t="s">
        <v>879</v>
      </c>
      <c r="C2060" s="568" t="s">
        <v>1614</v>
      </c>
      <c r="D2060" s="567">
        <v>4062</v>
      </c>
      <c r="E2060" s="567">
        <v>44</v>
      </c>
      <c r="F2060" s="567">
        <v>17</v>
      </c>
      <c r="G2060" s="567">
        <v>236</v>
      </c>
      <c r="H2060" s="567">
        <v>2150</v>
      </c>
      <c r="O2060"/>
    </row>
    <row r="2061" spans="1:15" x14ac:dyDescent="0.2">
      <c r="A2061" s="567">
        <v>1478</v>
      </c>
      <c r="B2061" s="568" t="s">
        <v>879</v>
      </c>
      <c r="C2061" s="568" t="s">
        <v>1615</v>
      </c>
      <c r="D2061" s="567">
        <v>4063</v>
      </c>
      <c r="E2061" s="567">
        <v>44</v>
      </c>
      <c r="F2061" s="567">
        <v>17</v>
      </c>
      <c r="G2061" s="567">
        <v>236</v>
      </c>
      <c r="H2061" s="567">
        <v>2150</v>
      </c>
      <c r="O2061"/>
    </row>
    <row r="2062" spans="1:15" x14ac:dyDescent="0.2">
      <c r="A2062" s="567">
        <v>753</v>
      </c>
      <c r="B2062" s="568" t="s">
        <v>880</v>
      </c>
      <c r="C2062" s="568" t="s">
        <v>879</v>
      </c>
      <c r="D2062" s="567">
        <v>1775</v>
      </c>
      <c r="E2062" s="567">
        <v>47</v>
      </c>
      <c r="F2062" s="567">
        <v>2</v>
      </c>
      <c r="G2062" s="567">
        <v>116</v>
      </c>
      <c r="H2062" s="567">
        <v>1180</v>
      </c>
      <c r="O2062"/>
    </row>
    <row r="2063" spans="1:15" x14ac:dyDescent="0.2">
      <c r="A2063" s="567">
        <v>2214</v>
      </c>
      <c r="B2063" s="568" t="s">
        <v>2424</v>
      </c>
      <c r="C2063" s="568" t="s">
        <v>2423</v>
      </c>
      <c r="D2063" s="567">
        <v>6412</v>
      </c>
      <c r="E2063" s="567">
        <v>38</v>
      </c>
      <c r="F2063" s="567">
        <v>14</v>
      </c>
      <c r="G2063" s="567">
        <v>327</v>
      </c>
      <c r="H2063" s="567">
        <v>3170</v>
      </c>
      <c r="O2063"/>
    </row>
    <row r="2064" spans="1:15" x14ac:dyDescent="0.2">
      <c r="A2064" s="567">
        <v>2213</v>
      </c>
      <c r="B2064" s="568" t="s">
        <v>2424</v>
      </c>
      <c r="C2064" s="568" t="s">
        <v>2430</v>
      </c>
      <c r="D2064" s="567">
        <v>6411</v>
      </c>
      <c r="E2064" s="567">
        <v>38</v>
      </c>
      <c r="F2064" s="567">
        <v>14</v>
      </c>
      <c r="G2064" s="567">
        <v>327</v>
      </c>
      <c r="H2064" s="567">
        <v>3170</v>
      </c>
      <c r="O2064"/>
    </row>
    <row r="2065" spans="1:15" x14ac:dyDescent="0.2">
      <c r="A2065" s="567">
        <v>2212</v>
      </c>
      <c r="B2065" s="568" t="s">
        <v>2424</v>
      </c>
      <c r="C2065" s="568" t="s">
        <v>879</v>
      </c>
      <c r="D2065" s="567">
        <v>6410</v>
      </c>
      <c r="E2065" s="567">
        <v>38</v>
      </c>
      <c r="F2065" s="567">
        <v>14</v>
      </c>
      <c r="G2065" s="567">
        <v>327</v>
      </c>
      <c r="H2065" s="567">
        <v>3170</v>
      </c>
      <c r="O2065"/>
    </row>
    <row r="2066" spans="1:15" x14ac:dyDescent="0.2">
      <c r="A2066" s="567">
        <v>3383</v>
      </c>
      <c r="B2066" s="568" t="s">
        <v>1796</v>
      </c>
      <c r="C2066" s="568" t="s">
        <v>1796</v>
      </c>
      <c r="D2066" s="567">
        <v>9930</v>
      </c>
      <c r="E2066" s="567">
        <v>42</v>
      </c>
      <c r="F2066" s="567">
        <v>10</v>
      </c>
      <c r="G2066" s="567">
        <v>435</v>
      </c>
      <c r="H2066" s="567">
        <v>4160</v>
      </c>
      <c r="O2066"/>
    </row>
    <row r="2067" spans="1:15" x14ac:dyDescent="0.2">
      <c r="A2067" s="567">
        <v>893</v>
      </c>
      <c r="B2067" s="568" t="s">
        <v>100</v>
      </c>
      <c r="C2067" s="568" t="s">
        <v>100</v>
      </c>
      <c r="D2067" s="567">
        <v>2285</v>
      </c>
      <c r="E2067" s="567">
        <v>46</v>
      </c>
      <c r="F2067" s="567">
        <v>19</v>
      </c>
      <c r="G2067" s="567">
        <v>136</v>
      </c>
      <c r="H2067" s="567">
        <v>1101</v>
      </c>
      <c r="O2067"/>
    </row>
    <row r="2068" spans="1:15" x14ac:dyDescent="0.2">
      <c r="A2068" s="567">
        <v>1434</v>
      </c>
      <c r="B2068" s="568" t="s">
        <v>1592</v>
      </c>
      <c r="C2068" s="568" t="s">
        <v>1591</v>
      </c>
      <c r="D2068" s="567">
        <v>3912</v>
      </c>
      <c r="E2068" s="567">
        <v>73</v>
      </c>
      <c r="F2068" s="567">
        <v>2</v>
      </c>
      <c r="G2068" s="567">
        <v>236</v>
      </c>
      <c r="H2068" s="567">
        <v>2150</v>
      </c>
      <c r="O2068"/>
    </row>
    <row r="2069" spans="1:15" x14ac:dyDescent="0.2">
      <c r="A2069" s="567">
        <v>1433</v>
      </c>
      <c r="B2069" s="568" t="s">
        <v>1592</v>
      </c>
      <c r="C2069" s="568" t="s">
        <v>1593</v>
      </c>
      <c r="D2069" s="567">
        <v>3911</v>
      </c>
      <c r="E2069" s="567">
        <v>73</v>
      </c>
      <c r="F2069" s="567">
        <v>2</v>
      </c>
      <c r="G2069" s="567">
        <v>236</v>
      </c>
      <c r="H2069" s="567">
        <v>2150</v>
      </c>
      <c r="O2069"/>
    </row>
    <row r="2070" spans="1:15" x14ac:dyDescent="0.2">
      <c r="A2070" s="567">
        <v>1432</v>
      </c>
      <c r="B2070" s="568" t="s">
        <v>1592</v>
      </c>
      <c r="C2070" s="568" t="s">
        <v>1619</v>
      </c>
      <c r="D2070" s="567">
        <v>3910</v>
      </c>
      <c r="E2070" s="567">
        <v>73</v>
      </c>
      <c r="F2070" s="567">
        <v>2</v>
      </c>
      <c r="G2070" s="567">
        <v>236</v>
      </c>
      <c r="H2070" s="567">
        <v>2150</v>
      </c>
      <c r="O2070"/>
    </row>
    <row r="2071" spans="1:15" x14ac:dyDescent="0.2">
      <c r="A2071" s="567">
        <v>1208</v>
      </c>
      <c r="B2071" s="568" t="s">
        <v>1454</v>
      </c>
      <c r="C2071" s="568" t="s">
        <v>1454</v>
      </c>
      <c r="D2071" s="567">
        <v>3235</v>
      </c>
      <c r="E2071" s="567">
        <v>59</v>
      </c>
      <c r="F2071" s="567">
        <v>3</v>
      </c>
      <c r="G2071" s="567">
        <v>226</v>
      </c>
      <c r="H2071" s="567">
        <v>2130</v>
      </c>
      <c r="O2071"/>
    </row>
    <row r="2072" spans="1:15" x14ac:dyDescent="0.2">
      <c r="A2072" s="567">
        <v>1094</v>
      </c>
      <c r="B2072" s="568" t="s">
        <v>408</v>
      </c>
      <c r="C2072" s="568" t="s">
        <v>1464</v>
      </c>
      <c r="D2072" s="567">
        <v>2826</v>
      </c>
      <c r="E2072" s="567">
        <v>68</v>
      </c>
      <c r="F2072" s="567">
        <v>21</v>
      </c>
      <c r="G2072" s="567">
        <v>225</v>
      </c>
      <c r="H2072" s="567">
        <v>2140</v>
      </c>
      <c r="O2072"/>
    </row>
    <row r="2073" spans="1:15" x14ac:dyDescent="0.2">
      <c r="A2073" s="567">
        <v>1093</v>
      </c>
      <c r="B2073" s="568" t="s">
        <v>408</v>
      </c>
      <c r="C2073" s="568" t="s">
        <v>408</v>
      </c>
      <c r="D2073" s="567">
        <v>2825</v>
      </c>
      <c r="E2073" s="567">
        <v>68</v>
      </c>
      <c r="F2073" s="567">
        <v>21</v>
      </c>
      <c r="G2073" s="567">
        <v>225</v>
      </c>
      <c r="H2073" s="567">
        <v>2140</v>
      </c>
      <c r="O2073"/>
    </row>
    <row r="2074" spans="1:15" x14ac:dyDescent="0.2">
      <c r="A2074" s="567">
        <v>1717</v>
      </c>
      <c r="B2074" s="568" t="s">
        <v>2229</v>
      </c>
      <c r="C2074" s="568" t="s">
        <v>2228</v>
      </c>
      <c r="D2074" s="567">
        <v>4701</v>
      </c>
      <c r="E2074" s="567">
        <v>151</v>
      </c>
      <c r="F2074" s="567">
        <v>3</v>
      </c>
      <c r="G2074" s="567">
        <v>317</v>
      </c>
      <c r="H2074" s="567">
        <v>3140</v>
      </c>
      <c r="O2074"/>
    </row>
    <row r="2075" spans="1:15" x14ac:dyDescent="0.2">
      <c r="A2075" s="567">
        <v>1718</v>
      </c>
      <c r="B2075" s="568" t="s">
        <v>2229</v>
      </c>
      <c r="C2075" s="568" t="s">
        <v>2230</v>
      </c>
      <c r="D2075" s="567">
        <v>4702</v>
      </c>
      <c r="E2075" s="567">
        <v>151</v>
      </c>
      <c r="F2075" s="567">
        <v>3</v>
      </c>
      <c r="G2075" s="567">
        <v>317</v>
      </c>
      <c r="H2075" s="567">
        <v>3140</v>
      </c>
      <c r="O2075"/>
    </row>
    <row r="2076" spans="1:15" x14ac:dyDescent="0.2">
      <c r="A2076" s="567">
        <v>1719</v>
      </c>
      <c r="B2076" s="568" t="s">
        <v>2229</v>
      </c>
      <c r="C2076" s="568" t="s">
        <v>2231</v>
      </c>
      <c r="D2076" s="567">
        <v>4703</v>
      </c>
      <c r="E2076" s="567">
        <v>151</v>
      </c>
      <c r="F2076" s="567">
        <v>3</v>
      </c>
      <c r="G2076" s="567">
        <v>317</v>
      </c>
      <c r="H2076" s="567">
        <v>3140</v>
      </c>
      <c r="O2076"/>
    </row>
    <row r="2077" spans="1:15" x14ac:dyDescent="0.2">
      <c r="A2077" s="567">
        <v>1720</v>
      </c>
      <c r="B2077" s="568" t="s">
        <v>2229</v>
      </c>
      <c r="C2077" s="568" t="s">
        <v>2232</v>
      </c>
      <c r="D2077" s="567">
        <v>4704</v>
      </c>
      <c r="E2077" s="567">
        <v>151</v>
      </c>
      <c r="F2077" s="567">
        <v>3</v>
      </c>
      <c r="G2077" s="567">
        <v>317</v>
      </c>
      <c r="H2077" s="567">
        <v>3140</v>
      </c>
      <c r="O2077"/>
    </row>
    <row r="2078" spans="1:15" x14ac:dyDescent="0.2">
      <c r="A2078" s="567">
        <v>1716</v>
      </c>
      <c r="B2078" s="568" t="s">
        <v>2229</v>
      </c>
      <c r="C2078" s="568" t="s">
        <v>2235</v>
      </c>
      <c r="D2078" s="567">
        <v>4700</v>
      </c>
      <c r="E2078" s="567">
        <v>151</v>
      </c>
      <c r="F2078" s="567">
        <v>3</v>
      </c>
      <c r="G2078" s="567">
        <v>317</v>
      </c>
      <c r="H2078" s="567">
        <v>3140</v>
      </c>
      <c r="O2078"/>
    </row>
    <row r="2079" spans="1:15" x14ac:dyDescent="0.2">
      <c r="A2079" s="567">
        <v>2620</v>
      </c>
      <c r="B2079" s="568" t="s">
        <v>3007</v>
      </c>
      <c r="C2079" s="568" t="s">
        <v>3006</v>
      </c>
      <c r="D2079" s="567">
        <v>7512</v>
      </c>
      <c r="E2079" s="567">
        <v>49</v>
      </c>
      <c r="F2079" s="567">
        <v>2</v>
      </c>
      <c r="G2079" s="567">
        <v>416</v>
      </c>
      <c r="H2079" s="567">
        <v>4140</v>
      </c>
      <c r="O2079"/>
    </row>
    <row r="2080" spans="1:15" x14ac:dyDescent="0.2">
      <c r="A2080" s="567">
        <v>2619</v>
      </c>
      <c r="B2080" s="568" t="s">
        <v>3007</v>
      </c>
      <c r="C2080" s="568" t="s">
        <v>3008</v>
      </c>
      <c r="D2080" s="567">
        <v>7511</v>
      </c>
      <c r="E2080" s="567">
        <v>49</v>
      </c>
      <c r="F2080" s="567">
        <v>2</v>
      </c>
      <c r="G2080" s="567">
        <v>416</v>
      </c>
      <c r="H2080" s="567">
        <v>4140</v>
      </c>
      <c r="O2080"/>
    </row>
    <row r="2081" spans="1:15" x14ac:dyDescent="0.2">
      <c r="A2081" s="567">
        <v>2618</v>
      </c>
      <c r="B2081" s="568" t="s">
        <v>3007</v>
      </c>
      <c r="C2081" s="568" t="s">
        <v>3009</v>
      </c>
      <c r="D2081" s="567">
        <v>7510</v>
      </c>
      <c r="E2081" s="567">
        <v>49</v>
      </c>
      <c r="F2081" s="567">
        <v>2</v>
      </c>
      <c r="G2081" s="567">
        <v>416</v>
      </c>
      <c r="H2081" s="567">
        <v>4140</v>
      </c>
      <c r="O2081"/>
    </row>
    <row r="2082" spans="1:15" x14ac:dyDescent="0.2">
      <c r="A2082" s="567">
        <v>1533</v>
      </c>
      <c r="B2082" s="568" t="s">
        <v>700</v>
      </c>
      <c r="C2082" s="568" t="s">
        <v>1671</v>
      </c>
      <c r="D2082" s="567">
        <v>4218</v>
      </c>
      <c r="E2082" s="567">
        <v>50</v>
      </c>
      <c r="F2082" s="567">
        <v>7</v>
      </c>
      <c r="G2082" s="567">
        <v>235</v>
      </c>
      <c r="H2082" s="567">
        <v>2160</v>
      </c>
      <c r="O2082"/>
    </row>
    <row r="2083" spans="1:15" x14ac:dyDescent="0.2">
      <c r="A2083" s="567">
        <v>1530</v>
      </c>
      <c r="B2083" s="568" t="s">
        <v>700</v>
      </c>
      <c r="C2083" s="568" t="s">
        <v>700</v>
      </c>
      <c r="D2083" s="567">
        <v>4215</v>
      </c>
      <c r="E2083" s="567">
        <v>50</v>
      </c>
      <c r="F2083" s="567">
        <v>7</v>
      </c>
      <c r="G2083" s="567">
        <v>235</v>
      </c>
      <c r="H2083" s="567">
        <v>2160</v>
      </c>
      <c r="O2083"/>
    </row>
    <row r="2084" spans="1:15" x14ac:dyDescent="0.2">
      <c r="A2084" s="567">
        <v>1532</v>
      </c>
      <c r="B2084" s="568" t="s">
        <v>700</v>
      </c>
      <c r="C2084" s="568" t="s">
        <v>1685</v>
      </c>
      <c r="D2084" s="567">
        <v>4217</v>
      </c>
      <c r="E2084" s="567">
        <v>50</v>
      </c>
      <c r="F2084" s="567">
        <v>7</v>
      </c>
      <c r="G2084" s="567">
        <v>235</v>
      </c>
      <c r="H2084" s="567">
        <v>2160</v>
      </c>
      <c r="O2084"/>
    </row>
    <row r="2085" spans="1:15" x14ac:dyDescent="0.2">
      <c r="A2085" s="567">
        <v>1534</v>
      </c>
      <c r="B2085" s="568" t="s">
        <v>700</v>
      </c>
      <c r="C2085" s="568" t="s">
        <v>1687</v>
      </c>
      <c r="D2085" s="567">
        <v>4219</v>
      </c>
      <c r="E2085" s="567">
        <v>50</v>
      </c>
      <c r="F2085" s="567">
        <v>7</v>
      </c>
      <c r="G2085" s="567">
        <v>235</v>
      </c>
      <c r="H2085" s="567">
        <v>2160</v>
      </c>
      <c r="O2085"/>
    </row>
    <row r="2086" spans="1:15" x14ac:dyDescent="0.2">
      <c r="A2086" s="567">
        <v>1535</v>
      </c>
      <c r="B2086" s="568" t="s">
        <v>700</v>
      </c>
      <c r="C2086" s="568" t="s">
        <v>1688</v>
      </c>
      <c r="D2086" s="567">
        <v>4220</v>
      </c>
      <c r="E2086" s="567">
        <v>50</v>
      </c>
      <c r="F2086" s="567">
        <v>7</v>
      </c>
      <c r="G2086" s="567">
        <v>235</v>
      </c>
      <c r="H2086" s="567">
        <v>2160</v>
      </c>
      <c r="O2086"/>
    </row>
    <row r="2087" spans="1:15" x14ac:dyDescent="0.2">
      <c r="A2087" s="567">
        <v>1531</v>
      </c>
      <c r="B2087" s="568" t="s">
        <v>700</v>
      </c>
      <c r="C2087" s="568" t="s">
        <v>1699</v>
      </c>
      <c r="D2087" s="567">
        <v>4216</v>
      </c>
      <c r="E2087" s="567">
        <v>50</v>
      </c>
      <c r="F2087" s="567">
        <v>7</v>
      </c>
      <c r="G2087" s="567">
        <v>235</v>
      </c>
      <c r="H2087" s="567">
        <v>2160</v>
      </c>
      <c r="O2087"/>
    </row>
    <row r="2088" spans="1:15" x14ac:dyDescent="0.2">
      <c r="A2088" s="567">
        <v>2108</v>
      </c>
      <c r="B2088" s="568" t="s">
        <v>1738</v>
      </c>
      <c r="C2088" s="568" t="s">
        <v>1737</v>
      </c>
      <c r="D2088" s="567">
        <v>6032</v>
      </c>
      <c r="E2088" s="567">
        <v>41</v>
      </c>
      <c r="F2088" s="567">
        <v>8</v>
      </c>
      <c r="G2088" s="567">
        <v>326</v>
      </c>
      <c r="H2088" s="567">
        <v>3100</v>
      </c>
      <c r="O2088"/>
    </row>
    <row r="2089" spans="1:15" x14ac:dyDescent="0.2">
      <c r="A2089" s="567">
        <v>2109</v>
      </c>
      <c r="B2089" s="568" t="s">
        <v>1738</v>
      </c>
      <c r="C2089" s="568" t="s">
        <v>1739</v>
      </c>
      <c r="D2089" s="567">
        <v>6033</v>
      </c>
      <c r="E2089" s="567">
        <v>41</v>
      </c>
      <c r="F2089" s="567">
        <v>8</v>
      </c>
      <c r="G2089" s="567">
        <v>326</v>
      </c>
      <c r="H2089" s="567">
        <v>3100</v>
      </c>
      <c r="O2089"/>
    </row>
    <row r="2090" spans="1:15" x14ac:dyDescent="0.2">
      <c r="A2090" s="567">
        <v>2106</v>
      </c>
      <c r="B2090" s="568" t="s">
        <v>1738</v>
      </c>
      <c r="C2090" s="568" t="s">
        <v>1738</v>
      </c>
      <c r="D2090" s="567">
        <v>6030</v>
      </c>
      <c r="E2090" s="567">
        <v>41</v>
      </c>
      <c r="F2090" s="567">
        <v>8</v>
      </c>
      <c r="G2090" s="567">
        <v>326</v>
      </c>
      <c r="H2090" s="567">
        <v>3100</v>
      </c>
      <c r="O2090"/>
    </row>
    <row r="2091" spans="1:15" x14ac:dyDescent="0.2">
      <c r="A2091" s="567">
        <v>2107</v>
      </c>
      <c r="B2091" s="568" t="s">
        <v>1738</v>
      </c>
      <c r="C2091" s="568" t="s">
        <v>1763</v>
      </c>
      <c r="D2091" s="567">
        <v>6031</v>
      </c>
      <c r="E2091" s="567">
        <v>41</v>
      </c>
      <c r="F2091" s="567">
        <v>8</v>
      </c>
      <c r="G2091" s="567">
        <v>326</v>
      </c>
      <c r="H2091" s="567">
        <v>3100</v>
      </c>
      <c r="O2091"/>
    </row>
    <row r="2092" spans="1:15" x14ac:dyDescent="0.2">
      <c r="A2092" s="567">
        <v>189</v>
      </c>
      <c r="B2092" s="568" t="s">
        <v>964</v>
      </c>
      <c r="C2092" s="568" t="s">
        <v>964</v>
      </c>
      <c r="D2092" s="567">
        <v>300</v>
      </c>
      <c r="E2092" s="567">
        <v>60</v>
      </c>
      <c r="F2092" s="567">
        <v>21</v>
      </c>
      <c r="G2092" s="567">
        <v>126</v>
      </c>
      <c r="H2092" s="567">
        <v>1190</v>
      </c>
      <c r="O2092"/>
    </row>
    <row r="2093" spans="1:15" x14ac:dyDescent="0.2">
      <c r="A2093" s="567">
        <v>134</v>
      </c>
      <c r="B2093" s="568" t="s">
        <v>370</v>
      </c>
      <c r="C2093" s="568" t="s">
        <v>369</v>
      </c>
      <c r="D2093" s="567">
        <v>208</v>
      </c>
      <c r="E2093" s="567">
        <v>82</v>
      </c>
      <c r="F2093" s="567">
        <v>20</v>
      </c>
      <c r="G2093" s="567">
        <v>128</v>
      </c>
      <c r="H2093" s="567">
        <v>1121</v>
      </c>
      <c r="O2093"/>
    </row>
    <row r="2094" spans="1:15" x14ac:dyDescent="0.2">
      <c r="A2094" s="567">
        <v>131</v>
      </c>
      <c r="B2094" s="568" t="s">
        <v>370</v>
      </c>
      <c r="C2094" s="568" t="s">
        <v>370</v>
      </c>
      <c r="D2094" s="567">
        <v>205</v>
      </c>
      <c r="E2094" s="567">
        <v>82</v>
      </c>
      <c r="F2094" s="567">
        <v>20</v>
      </c>
      <c r="G2094" s="567">
        <v>128</v>
      </c>
      <c r="H2094" s="567">
        <v>1121</v>
      </c>
      <c r="O2094"/>
    </row>
    <row r="2095" spans="1:15" x14ac:dyDescent="0.2">
      <c r="A2095" s="567">
        <v>133</v>
      </c>
      <c r="B2095" s="568" t="s">
        <v>370</v>
      </c>
      <c r="C2095" s="568" t="s">
        <v>380</v>
      </c>
      <c r="D2095" s="567">
        <v>207</v>
      </c>
      <c r="E2095" s="567">
        <v>82</v>
      </c>
      <c r="F2095" s="567">
        <v>20</v>
      </c>
      <c r="G2095" s="567">
        <v>128</v>
      </c>
      <c r="H2095" s="567">
        <v>1121</v>
      </c>
      <c r="O2095"/>
    </row>
    <row r="2096" spans="1:15" x14ac:dyDescent="0.2">
      <c r="A2096" s="567">
        <v>135</v>
      </c>
      <c r="B2096" s="568" t="s">
        <v>370</v>
      </c>
      <c r="C2096" s="568" t="s">
        <v>382</v>
      </c>
      <c r="D2096" s="567">
        <v>209</v>
      </c>
      <c r="E2096" s="567">
        <v>82</v>
      </c>
      <c r="F2096" s="567">
        <v>20</v>
      </c>
      <c r="G2096" s="567">
        <v>128</v>
      </c>
      <c r="H2096" s="567">
        <v>1121</v>
      </c>
      <c r="O2096"/>
    </row>
    <row r="2097" spans="1:15" x14ac:dyDescent="0.2">
      <c r="A2097" s="567">
        <v>136</v>
      </c>
      <c r="B2097" s="568" t="s">
        <v>370</v>
      </c>
      <c r="C2097" s="568" t="s">
        <v>383</v>
      </c>
      <c r="D2097" s="567">
        <v>210</v>
      </c>
      <c r="E2097" s="567">
        <v>82</v>
      </c>
      <c r="F2097" s="567">
        <v>20</v>
      </c>
      <c r="G2097" s="567">
        <v>128</v>
      </c>
      <c r="H2097" s="567">
        <v>1121</v>
      </c>
      <c r="O2097"/>
    </row>
    <row r="2098" spans="1:15" x14ac:dyDescent="0.2">
      <c r="A2098" s="567">
        <v>137</v>
      </c>
      <c r="B2098" s="568" t="s">
        <v>370</v>
      </c>
      <c r="C2098" s="568" t="s">
        <v>384</v>
      </c>
      <c r="D2098" s="567">
        <v>211</v>
      </c>
      <c r="E2098" s="567">
        <v>82</v>
      </c>
      <c r="F2098" s="567">
        <v>20</v>
      </c>
      <c r="G2098" s="567">
        <v>128</v>
      </c>
      <c r="H2098" s="567">
        <v>1121</v>
      </c>
      <c r="O2098"/>
    </row>
    <row r="2099" spans="1:15" x14ac:dyDescent="0.2">
      <c r="A2099" s="567">
        <v>138</v>
      </c>
      <c r="B2099" s="568" t="s">
        <v>370</v>
      </c>
      <c r="C2099" s="568" t="s">
        <v>385</v>
      </c>
      <c r="D2099" s="567">
        <v>212</v>
      </c>
      <c r="E2099" s="567">
        <v>82</v>
      </c>
      <c r="F2099" s="567">
        <v>20</v>
      </c>
      <c r="G2099" s="567">
        <v>128</v>
      </c>
      <c r="H2099" s="567">
        <v>1121</v>
      </c>
      <c r="O2099"/>
    </row>
    <row r="2100" spans="1:15" x14ac:dyDescent="0.2">
      <c r="A2100" s="567">
        <v>139</v>
      </c>
      <c r="B2100" s="568" t="s">
        <v>370</v>
      </c>
      <c r="C2100" s="568" t="s">
        <v>386</v>
      </c>
      <c r="D2100" s="567">
        <v>213</v>
      </c>
      <c r="E2100" s="567">
        <v>82</v>
      </c>
      <c r="F2100" s="567">
        <v>20</v>
      </c>
      <c r="G2100" s="567">
        <v>128</v>
      </c>
      <c r="H2100" s="567">
        <v>1121</v>
      </c>
      <c r="O2100"/>
    </row>
    <row r="2101" spans="1:15" x14ac:dyDescent="0.2">
      <c r="A2101" s="567">
        <v>140</v>
      </c>
      <c r="B2101" s="568" t="s">
        <v>370</v>
      </c>
      <c r="C2101" s="568" t="s">
        <v>387</v>
      </c>
      <c r="D2101" s="567">
        <v>214</v>
      </c>
      <c r="E2101" s="567">
        <v>82</v>
      </c>
      <c r="F2101" s="567">
        <v>20</v>
      </c>
      <c r="G2101" s="567">
        <v>128</v>
      </c>
      <c r="H2101" s="567">
        <v>1121</v>
      </c>
      <c r="O2101"/>
    </row>
    <row r="2102" spans="1:15" x14ac:dyDescent="0.2">
      <c r="A2102" s="567">
        <v>132</v>
      </c>
      <c r="B2102" s="568" t="s">
        <v>370</v>
      </c>
      <c r="C2102" s="568" t="s">
        <v>391</v>
      </c>
      <c r="D2102" s="567">
        <v>206</v>
      </c>
      <c r="E2102" s="567">
        <v>82</v>
      </c>
      <c r="F2102" s="567">
        <v>20</v>
      </c>
      <c r="G2102" s="567">
        <v>128</v>
      </c>
      <c r="H2102" s="567">
        <v>1121</v>
      </c>
      <c r="O2102"/>
    </row>
    <row r="2103" spans="1:15" x14ac:dyDescent="0.2">
      <c r="A2103" s="567">
        <v>1007</v>
      </c>
      <c r="B2103" s="568" t="s">
        <v>495</v>
      </c>
      <c r="C2103" s="568" t="s">
        <v>495</v>
      </c>
      <c r="D2103" s="567">
        <v>2620</v>
      </c>
      <c r="E2103" s="567">
        <v>27</v>
      </c>
      <c r="F2103" s="567">
        <v>13</v>
      </c>
      <c r="G2103" s="567">
        <v>135</v>
      </c>
      <c r="H2103" s="567">
        <v>1140</v>
      </c>
      <c r="O2103"/>
    </row>
    <row r="2104" spans="1:15" x14ac:dyDescent="0.2">
      <c r="A2104" s="567">
        <v>1008</v>
      </c>
      <c r="B2104" s="568" t="s">
        <v>495</v>
      </c>
      <c r="C2104" s="568" t="s">
        <v>496</v>
      </c>
      <c r="D2104" s="567">
        <v>2621</v>
      </c>
      <c r="E2104" s="567">
        <v>27</v>
      </c>
      <c r="F2104" s="567">
        <v>13</v>
      </c>
      <c r="G2104" s="567">
        <v>135</v>
      </c>
      <c r="H2104" s="567">
        <v>1140</v>
      </c>
      <c r="O2104"/>
    </row>
    <row r="2105" spans="1:15" x14ac:dyDescent="0.2">
      <c r="A2105" s="567">
        <v>1009</v>
      </c>
      <c r="B2105" s="568" t="s">
        <v>495</v>
      </c>
      <c r="C2105" s="568" t="s">
        <v>187</v>
      </c>
      <c r="D2105" s="567">
        <v>2622</v>
      </c>
      <c r="E2105" s="567">
        <v>27</v>
      </c>
      <c r="F2105" s="567">
        <v>13</v>
      </c>
      <c r="G2105" s="567">
        <v>135</v>
      </c>
      <c r="H2105" s="567">
        <v>1140</v>
      </c>
      <c r="O2105"/>
    </row>
    <row r="2106" spans="1:15" x14ac:dyDescent="0.2">
      <c r="A2106" s="567">
        <v>1446</v>
      </c>
      <c r="B2106" s="568" t="s">
        <v>1566</v>
      </c>
      <c r="C2106" s="568" t="s">
        <v>169</v>
      </c>
      <c r="D2106" s="567">
        <v>3956</v>
      </c>
      <c r="E2106" s="567">
        <v>46</v>
      </c>
      <c r="F2106" s="567">
        <v>2</v>
      </c>
      <c r="G2106" s="567">
        <v>236</v>
      </c>
      <c r="H2106" s="567">
        <v>2150</v>
      </c>
      <c r="O2106"/>
    </row>
    <row r="2107" spans="1:15" x14ac:dyDescent="0.2">
      <c r="A2107" s="567">
        <v>1445</v>
      </c>
      <c r="B2107" s="568" t="s">
        <v>1566</v>
      </c>
      <c r="C2107" s="568" t="s">
        <v>1580</v>
      </c>
      <c r="D2107" s="567">
        <v>3955</v>
      </c>
      <c r="E2107" s="567">
        <v>46</v>
      </c>
      <c r="F2107" s="567">
        <v>2</v>
      </c>
      <c r="G2107" s="567">
        <v>236</v>
      </c>
      <c r="H2107" s="567">
        <v>2150</v>
      </c>
      <c r="O2107"/>
    </row>
    <row r="2108" spans="1:15" x14ac:dyDescent="0.2">
      <c r="A2108" s="567">
        <v>450</v>
      </c>
      <c r="B2108" s="568" t="s">
        <v>610</v>
      </c>
      <c r="C2108" s="568" t="s">
        <v>610</v>
      </c>
      <c r="D2108" s="567">
        <v>860</v>
      </c>
      <c r="E2108" s="567">
        <v>74</v>
      </c>
      <c r="F2108" s="567">
        <v>1</v>
      </c>
      <c r="G2108" s="567">
        <v>125</v>
      </c>
      <c r="H2108" s="567">
        <v>1150</v>
      </c>
      <c r="O2108"/>
    </row>
    <row r="2109" spans="1:15" x14ac:dyDescent="0.2">
      <c r="A2109" s="567">
        <v>451</v>
      </c>
      <c r="B2109" s="568" t="s">
        <v>610</v>
      </c>
      <c r="C2109" s="568" t="s">
        <v>85</v>
      </c>
      <c r="D2109" s="567">
        <v>861</v>
      </c>
      <c r="E2109" s="567">
        <v>74</v>
      </c>
      <c r="F2109" s="567">
        <v>1</v>
      </c>
      <c r="G2109" s="567">
        <v>125</v>
      </c>
      <c r="H2109" s="567">
        <v>1150</v>
      </c>
      <c r="O2109"/>
    </row>
    <row r="2110" spans="1:15" x14ac:dyDescent="0.2">
      <c r="A2110" s="567">
        <v>1747</v>
      </c>
      <c r="B2110" s="568" t="s">
        <v>2138</v>
      </c>
      <c r="C2110" s="568" t="s">
        <v>2138</v>
      </c>
      <c r="D2110" s="567">
        <v>4780</v>
      </c>
      <c r="E2110" s="567">
        <v>85</v>
      </c>
      <c r="F2110" s="567">
        <v>5</v>
      </c>
      <c r="G2110" s="567">
        <v>317</v>
      </c>
      <c r="H2110" s="567">
        <v>3140</v>
      </c>
      <c r="O2110"/>
    </row>
    <row r="2111" spans="1:15" x14ac:dyDescent="0.2">
      <c r="A2111" s="567">
        <v>763</v>
      </c>
      <c r="B2111" s="568" t="s">
        <v>875</v>
      </c>
      <c r="C2111" s="568" t="s">
        <v>875</v>
      </c>
      <c r="D2111" s="567">
        <v>1800</v>
      </c>
      <c r="E2111" s="567">
        <v>48</v>
      </c>
      <c r="F2111" s="567">
        <v>2</v>
      </c>
      <c r="G2111" s="567">
        <v>116</v>
      </c>
      <c r="H2111" s="567">
        <v>1180</v>
      </c>
      <c r="O2111"/>
    </row>
    <row r="2112" spans="1:15" x14ac:dyDescent="0.2">
      <c r="A2112" s="567">
        <v>717</v>
      </c>
      <c r="B2112" s="568" t="s">
        <v>701</v>
      </c>
      <c r="C2112" s="568" t="s">
        <v>701</v>
      </c>
      <c r="D2112" s="567">
        <v>1630</v>
      </c>
      <c r="E2112" s="567">
        <v>37</v>
      </c>
      <c r="F2112" s="567">
        <v>2</v>
      </c>
      <c r="G2112" s="567">
        <v>115</v>
      </c>
      <c r="H2112" s="567">
        <v>1161</v>
      </c>
      <c r="O2112"/>
    </row>
    <row r="2113" spans="1:15" x14ac:dyDescent="0.2">
      <c r="A2113" s="567">
        <v>784</v>
      </c>
      <c r="B2113" s="568" t="s">
        <v>810</v>
      </c>
      <c r="C2113" s="568" t="s">
        <v>809</v>
      </c>
      <c r="D2113" s="567">
        <v>1875</v>
      </c>
      <c r="E2113" s="567">
        <v>49</v>
      </c>
      <c r="F2113" s="567">
        <v>2</v>
      </c>
      <c r="G2113" s="567">
        <v>116</v>
      </c>
      <c r="H2113" s="567">
        <v>1180</v>
      </c>
      <c r="O2113"/>
    </row>
    <row r="2114" spans="1:15" x14ac:dyDescent="0.2">
      <c r="A2114" s="567">
        <v>783</v>
      </c>
      <c r="B2114" s="568" t="s">
        <v>810</v>
      </c>
      <c r="C2114" s="568" t="s">
        <v>811</v>
      </c>
      <c r="D2114" s="567">
        <v>1874</v>
      </c>
      <c r="E2114" s="567">
        <v>49</v>
      </c>
      <c r="F2114" s="567">
        <v>2</v>
      </c>
      <c r="G2114" s="567">
        <v>116</v>
      </c>
      <c r="H2114" s="567">
        <v>1180</v>
      </c>
      <c r="O2114"/>
    </row>
    <row r="2115" spans="1:15" x14ac:dyDescent="0.2">
      <c r="A2115" s="567">
        <v>782</v>
      </c>
      <c r="B2115" s="568" t="s">
        <v>810</v>
      </c>
      <c r="C2115" s="568" t="s">
        <v>812</v>
      </c>
      <c r="D2115" s="567">
        <v>1873</v>
      </c>
      <c r="E2115" s="567">
        <v>49</v>
      </c>
      <c r="F2115" s="567">
        <v>2</v>
      </c>
      <c r="G2115" s="567">
        <v>116</v>
      </c>
      <c r="H2115" s="567">
        <v>1180</v>
      </c>
      <c r="O2115"/>
    </row>
    <row r="2116" spans="1:15" x14ac:dyDescent="0.2">
      <c r="A2116" s="567">
        <v>781</v>
      </c>
      <c r="B2116" s="568" t="s">
        <v>810</v>
      </c>
      <c r="C2116" s="568" t="s">
        <v>813</v>
      </c>
      <c r="D2116" s="567">
        <v>1872</v>
      </c>
      <c r="E2116" s="567">
        <v>49</v>
      </c>
      <c r="F2116" s="567">
        <v>2</v>
      </c>
      <c r="G2116" s="567">
        <v>116</v>
      </c>
      <c r="H2116" s="567">
        <v>1180</v>
      </c>
      <c r="O2116"/>
    </row>
    <row r="2117" spans="1:15" x14ac:dyDescent="0.2">
      <c r="A2117" s="567">
        <v>780</v>
      </c>
      <c r="B2117" s="568" t="s">
        <v>810</v>
      </c>
      <c r="C2117" s="568" t="s">
        <v>814</v>
      </c>
      <c r="D2117" s="567">
        <v>1871</v>
      </c>
      <c r="E2117" s="567">
        <v>49</v>
      </c>
      <c r="F2117" s="567">
        <v>2</v>
      </c>
      <c r="G2117" s="567">
        <v>116</v>
      </c>
      <c r="H2117" s="567">
        <v>1180</v>
      </c>
      <c r="O2117"/>
    </row>
    <row r="2118" spans="1:15" x14ac:dyDescent="0.2">
      <c r="A2118" s="567">
        <v>779</v>
      </c>
      <c r="B2118" s="568" t="s">
        <v>810</v>
      </c>
      <c r="C2118" s="568" t="s">
        <v>810</v>
      </c>
      <c r="D2118" s="567">
        <v>1870</v>
      </c>
      <c r="E2118" s="567">
        <v>49</v>
      </c>
      <c r="F2118" s="567">
        <v>2</v>
      </c>
      <c r="G2118" s="567">
        <v>116</v>
      </c>
      <c r="H2118" s="567">
        <v>1180</v>
      </c>
      <c r="O2118"/>
    </row>
    <row r="2119" spans="1:15" x14ac:dyDescent="0.2">
      <c r="A2119" s="567">
        <v>2817</v>
      </c>
      <c r="B2119" s="568" t="s">
        <v>2631</v>
      </c>
      <c r="C2119" s="568" t="s">
        <v>2631</v>
      </c>
      <c r="D2119" s="567">
        <v>8080</v>
      </c>
      <c r="E2119" s="567">
        <v>45</v>
      </c>
      <c r="F2119" s="567">
        <v>15</v>
      </c>
      <c r="G2119" s="567">
        <v>417</v>
      </c>
      <c r="H2119" s="567">
        <v>4100</v>
      </c>
      <c r="O2119"/>
    </row>
    <row r="2120" spans="1:15" x14ac:dyDescent="0.2">
      <c r="A2120" s="567">
        <v>1182</v>
      </c>
      <c r="B2120" s="568" t="s">
        <v>1384</v>
      </c>
      <c r="C2120" s="568" t="s">
        <v>1384</v>
      </c>
      <c r="D2120" s="567">
        <v>3120</v>
      </c>
      <c r="E2120" s="567">
        <v>60</v>
      </c>
      <c r="F2120" s="567">
        <v>3</v>
      </c>
      <c r="G2120" s="567">
        <v>226</v>
      </c>
      <c r="H2120" s="567">
        <v>2130</v>
      </c>
      <c r="O2120"/>
    </row>
    <row r="2121" spans="1:15" x14ac:dyDescent="0.2">
      <c r="A2121" s="567">
        <v>778</v>
      </c>
      <c r="B2121" s="568" t="s">
        <v>815</v>
      </c>
      <c r="C2121" s="568" t="s">
        <v>815</v>
      </c>
      <c r="D2121" s="567">
        <v>1865</v>
      </c>
      <c r="E2121" s="567">
        <v>50</v>
      </c>
      <c r="F2121" s="567">
        <v>2</v>
      </c>
      <c r="G2121" s="567">
        <v>116</v>
      </c>
      <c r="H2121" s="567">
        <v>1180</v>
      </c>
      <c r="O2121"/>
    </row>
    <row r="2122" spans="1:15" x14ac:dyDescent="0.2">
      <c r="A2122" s="567">
        <v>1290</v>
      </c>
      <c r="B2122" s="568" t="s">
        <v>1334</v>
      </c>
      <c r="C2122" s="568" t="s">
        <v>1334</v>
      </c>
      <c r="D2122" s="567">
        <v>3490</v>
      </c>
      <c r="E2122" s="567">
        <v>59</v>
      </c>
      <c r="F2122" s="567">
        <v>2</v>
      </c>
      <c r="G2122" s="567">
        <v>215</v>
      </c>
      <c r="H2122" s="567">
        <v>2121</v>
      </c>
      <c r="O2122"/>
    </row>
    <row r="2123" spans="1:15" x14ac:dyDescent="0.2">
      <c r="A2123" s="567">
        <v>1291</v>
      </c>
      <c r="B2123" s="568" t="s">
        <v>1334</v>
      </c>
      <c r="C2123" s="568" t="s">
        <v>1335</v>
      </c>
      <c r="D2123" s="567">
        <v>3491</v>
      </c>
      <c r="E2123" s="567">
        <v>59</v>
      </c>
      <c r="F2123" s="567">
        <v>2</v>
      </c>
      <c r="G2123" s="567">
        <v>215</v>
      </c>
      <c r="H2123" s="567">
        <v>2121</v>
      </c>
      <c r="O2123"/>
    </row>
    <row r="2124" spans="1:15" x14ac:dyDescent="0.2">
      <c r="A2124" s="567">
        <v>2923</v>
      </c>
      <c r="B2124" s="568" t="s">
        <v>3186</v>
      </c>
      <c r="C2124" s="568" t="s">
        <v>3186</v>
      </c>
      <c r="D2124" s="567">
        <v>8390</v>
      </c>
      <c r="E2124" s="567">
        <v>88</v>
      </c>
      <c r="F2124" s="567">
        <v>12</v>
      </c>
      <c r="G2124" s="567">
        <v>425</v>
      </c>
      <c r="H2124" s="567">
        <v>4170</v>
      </c>
      <c r="O2124"/>
    </row>
    <row r="2125" spans="1:15" x14ac:dyDescent="0.2">
      <c r="A2125" s="567">
        <v>911</v>
      </c>
      <c r="B2125" s="568" t="s">
        <v>56</v>
      </c>
      <c r="C2125" s="568" t="s">
        <v>56</v>
      </c>
      <c r="D2125" s="567">
        <v>2350</v>
      </c>
      <c r="E2125" s="567">
        <v>49</v>
      </c>
      <c r="F2125" s="567">
        <v>18</v>
      </c>
      <c r="G2125" s="567">
        <v>136</v>
      </c>
      <c r="H2125" s="567">
        <v>1101</v>
      </c>
      <c r="O2125"/>
    </row>
    <row r="2126" spans="1:15" x14ac:dyDescent="0.2">
      <c r="A2126" s="567">
        <v>1748</v>
      </c>
      <c r="B2126" s="568" t="s">
        <v>2148</v>
      </c>
      <c r="C2126" s="568" t="s">
        <v>2148</v>
      </c>
      <c r="D2126" s="567">
        <v>4785</v>
      </c>
      <c r="E2126" s="567">
        <v>88</v>
      </c>
      <c r="F2126" s="567">
        <v>5</v>
      </c>
      <c r="G2126" s="567">
        <v>317</v>
      </c>
      <c r="H2126" s="567">
        <v>3140</v>
      </c>
      <c r="O2126"/>
    </row>
    <row r="2127" spans="1:15" x14ac:dyDescent="0.2">
      <c r="A2127" s="567">
        <v>1238</v>
      </c>
      <c r="B2127" s="568" t="s">
        <v>1282</v>
      </c>
      <c r="C2127" s="568" t="s">
        <v>1281</v>
      </c>
      <c r="D2127" s="567">
        <v>3331</v>
      </c>
      <c r="E2127" s="567">
        <v>107</v>
      </c>
      <c r="F2127" s="567">
        <v>3</v>
      </c>
      <c r="G2127" s="567">
        <v>215</v>
      </c>
      <c r="H2127" s="567">
        <v>2121</v>
      </c>
      <c r="O2127"/>
    </row>
    <row r="2128" spans="1:15" x14ac:dyDescent="0.2">
      <c r="A2128" s="567">
        <v>1237</v>
      </c>
      <c r="B2128" s="568" t="s">
        <v>1282</v>
      </c>
      <c r="C2128" s="568" t="s">
        <v>1283</v>
      </c>
      <c r="D2128" s="567">
        <v>3330</v>
      </c>
      <c r="E2128" s="567">
        <v>107</v>
      </c>
      <c r="F2128" s="567">
        <v>3</v>
      </c>
      <c r="G2128" s="567">
        <v>215</v>
      </c>
      <c r="H2128" s="567">
        <v>2121</v>
      </c>
      <c r="O2128"/>
    </row>
    <row r="2129" spans="1:15" x14ac:dyDescent="0.2">
      <c r="A2129" s="567">
        <v>1694</v>
      </c>
      <c r="B2129" s="568" t="s">
        <v>2116</v>
      </c>
      <c r="C2129" s="568" t="s">
        <v>2115</v>
      </c>
      <c r="D2129" s="567">
        <v>4638</v>
      </c>
      <c r="E2129" s="567">
        <v>89</v>
      </c>
      <c r="F2129" s="567">
        <v>3</v>
      </c>
      <c r="G2129" s="567">
        <v>317</v>
      </c>
      <c r="H2129" s="567">
        <v>3140</v>
      </c>
      <c r="O2129"/>
    </row>
    <row r="2130" spans="1:15" x14ac:dyDescent="0.2">
      <c r="A2130" s="567">
        <v>1686</v>
      </c>
      <c r="B2130" s="568" t="s">
        <v>2116</v>
      </c>
      <c r="C2130" s="568" t="s">
        <v>2116</v>
      </c>
      <c r="D2130" s="567">
        <v>4630</v>
      </c>
      <c r="E2130" s="567">
        <v>89</v>
      </c>
      <c r="F2130" s="567">
        <v>3</v>
      </c>
      <c r="G2130" s="567">
        <v>317</v>
      </c>
      <c r="H2130" s="567">
        <v>3140</v>
      </c>
      <c r="O2130"/>
    </row>
    <row r="2131" spans="1:15" x14ac:dyDescent="0.2">
      <c r="A2131" s="567">
        <v>1687</v>
      </c>
      <c r="B2131" s="568" t="s">
        <v>2116</v>
      </c>
      <c r="C2131" s="568" t="s">
        <v>2201</v>
      </c>
      <c r="D2131" s="567">
        <v>4631</v>
      </c>
      <c r="E2131" s="567">
        <v>89</v>
      </c>
      <c r="F2131" s="567">
        <v>3</v>
      </c>
      <c r="G2131" s="567">
        <v>317</v>
      </c>
      <c r="H2131" s="567">
        <v>3140</v>
      </c>
      <c r="O2131"/>
    </row>
    <row r="2132" spans="1:15" x14ac:dyDescent="0.2">
      <c r="A2132" s="567">
        <v>1688</v>
      </c>
      <c r="B2132" s="568" t="s">
        <v>2116</v>
      </c>
      <c r="C2132" s="568" t="s">
        <v>2202</v>
      </c>
      <c r="D2132" s="567">
        <v>4632</v>
      </c>
      <c r="E2132" s="567">
        <v>89</v>
      </c>
      <c r="F2132" s="567">
        <v>3</v>
      </c>
      <c r="G2132" s="567">
        <v>317</v>
      </c>
      <c r="H2132" s="567">
        <v>3140</v>
      </c>
      <c r="O2132"/>
    </row>
    <row r="2133" spans="1:15" x14ac:dyDescent="0.2">
      <c r="A2133" s="567">
        <v>1689</v>
      </c>
      <c r="B2133" s="568" t="s">
        <v>2116</v>
      </c>
      <c r="C2133" s="568" t="s">
        <v>2203</v>
      </c>
      <c r="D2133" s="567">
        <v>4633</v>
      </c>
      <c r="E2133" s="567">
        <v>89</v>
      </c>
      <c r="F2133" s="567">
        <v>3</v>
      </c>
      <c r="G2133" s="567">
        <v>317</v>
      </c>
      <c r="H2133" s="567">
        <v>3140</v>
      </c>
      <c r="O2133"/>
    </row>
    <row r="2134" spans="1:15" x14ac:dyDescent="0.2">
      <c r="A2134" s="567">
        <v>1690</v>
      </c>
      <c r="B2134" s="568" t="s">
        <v>2116</v>
      </c>
      <c r="C2134" s="568" t="s">
        <v>1784</v>
      </c>
      <c r="D2134" s="567">
        <v>4634</v>
      </c>
      <c r="E2134" s="567">
        <v>89</v>
      </c>
      <c r="F2134" s="567">
        <v>3</v>
      </c>
      <c r="G2134" s="567">
        <v>317</v>
      </c>
      <c r="H2134" s="567">
        <v>3140</v>
      </c>
      <c r="O2134"/>
    </row>
    <row r="2135" spans="1:15" x14ac:dyDescent="0.2">
      <c r="A2135" s="567">
        <v>1691</v>
      </c>
      <c r="B2135" s="568" t="s">
        <v>2116</v>
      </c>
      <c r="C2135" s="568" t="s">
        <v>2204</v>
      </c>
      <c r="D2135" s="567">
        <v>4635</v>
      </c>
      <c r="E2135" s="567">
        <v>89</v>
      </c>
      <c r="F2135" s="567">
        <v>3</v>
      </c>
      <c r="G2135" s="567">
        <v>317</v>
      </c>
      <c r="H2135" s="567">
        <v>3140</v>
      </c>
      <c r="O2135"/>
    </row>
    <row r="2136" spans="1:15" x14ac:dyDescent="0.2">
      <c r="A2136" s="567">
        <v>1693</v>
      </c>
      <c r="B2136" s="568" t="s">
        <v>2116</v>
      </c>
      <c r="C2136" s="568" t="s">
        <v>2205</v>
      </c>
      <c r="D2136" s="567">
        <v>4637</v>
      </c>
      <c r="E2136" s="567">
        <v>89</v>
      </c>
      <c r="F2136" s="567">
        <v>3</v>
      </c>
      <c r="G2136" s="567">
        <v>317</v>
      </c>
      <c r="H2136" s="567">
        <v>3140</v>
      </c>
      <c r="O2136"/>
    </row>
    <row r="2137" spans="1:15" x14ac:dyDescent="0.2">
      <c r="A2137" s="567">
        <v>1692</v>
      </c>
      <c r="B2137" s="568" t="s">
        <v>2116</v>
      </c>
      <c r="C2137" s="568" t="s">
        <v>2206</v>
      </c>
      <c r="D2137" s="567">
        <v>4636</v>
      </c>
      <c r="E2137" s="567">
        <v>89</v>
      </c>
      <c r="F2137" s="567">
        <v>3</v>
      </c>
      <c r="G2137" s="567">
        <v>317</v>
      </c>
      <c r="H2137" s="567">
        <v>3140</v>
      </c>
      <c r="O2137"/>
    </row>
    <row r="2138" spans="1:15" x14ac:dyDescent="0.2">
      <c r="A2138" s="567">
        <v>1695</v>
      </c>
      <c r="B2138" s="568" t="s">
        <v>2116</v>
      </c>
      <c r="C2138" s="568" t="s">
        <v>2207</v>
      </c>
      <c r="D2138" s="567">
        <v>4639</v>
      </c>
      <c r="E2138" s="567">
        <v>89</v>
      </c>
      <c r="F2138" s="567">
        <v>3</v>
      </c>
      <c r="G2138" s="567">
        <v>317</v>
      </c>
      <c r="H2138" s="567">
        <v>3140</v>
      </c>
      <c r="O2138"/>
    </row>
    <row r="2139" spans="1:15" x14ac:dyDescent="0.2">
      <c r="A2139" s="567">
        <v>952</v>
      </c>
      <c r="B2139" s="568" t="s">
        <v>110</v>
      </c>
      <c r="C2139" s="568" t="s">
        <v>110</v>
      </c>
      <c r="D2139" s="567">
        <v>2460</v>
      </c>
      <c r="E2139" s="567">
        <v>50</v>
      </c>
      <c r="F2139" s="567">
        <v>14</v>
      </c>
      <c r="G2139" s="567">
        <v>136</v>
      </c>
      <c r="H2139" s="567">
        <v>1101</v>
      </c>
      <c r="O2139"/>
    </row>
    <row r="2140" spans="1:15" x14ac:dyDescent="0.2">
      <c r="A2140" s="567">
        <v>2946</v>
      </c>
      <c r="B2140" s="568" t="s">
        <v>3261</v>
      </c>
      <c r="C2140" s="568" t="s">
        <v>3261</v>
      </c>
      <c r="D2140" s="567">
        <v>8490</v>
      </c>
      <c r="E2140" s="567">
        <v>90</v>
      </c>
      <c r="F2140" s="567">
        <v>11</v>
      </c>
      <c r="G2140" s="567">
        <v>425</v>
      </c>
      <c r="H2140" s="567">
        <v>4170</v>
      </c>
      <c r="O2140"/>
    </row>
    <row r="2141" spans="1:15" x14ac:dyDescent="0.2">
      <c r="A2141" s="567">
        <v>2947</v>
      </c>
      <c r="B2141" s="568" t="s">
        <v>3261</v>
      </c>
      <c r="C2141" s="568" t="s">
        <v>3270</v>
      </c>
      <c r="D2141" s="567">
        <v>8491</v>
      </c>
      <c r="E2141" s="567">
        <v>90</v>
      </c>
      <c r="F2141" s="567">
        <v>11</v>
      </c>
      <c r="G2141" s="567">
        <v>425</v>
      </c>
      <c r="H2141" s="567">
        <v>4170</v>
      </c>
      <c r="O2141"/>
    </row>
    <row r="2142" spans="1:15" x14ac:dyDescent="0.2">
      <c r="A2142" s="567">
        <v>2050</v>
      </c>
      <c r="B2142" s="568" t="s">
        <v>2381</v>
      </c>
      <c r="C2142" s="568" t="s">
        <v>2380</v>
      </c>
      <c r="D2142" s="567">
        <v>5816</v>
      </c>
      <c r="E2142" s="567">
        <v>45</v>
      </c>
      <c r="F2142" s="567">
        <v>17</v>
      </c>
      <c r="G2142" s="567">
        <v>325</v>
      </c>
      <c r="H2142" s="567">
        <v>3160</v>
      </c>
      <c r="O2142"/>
    </row>
    <row r="2143" spans="1:15" x14ac:dyDescent="0.2">
      <c r="A2143" s="567">
        <v>2049</v>
      </c>
      <c r="B2143" s="568" t="s">
        <v>2381</v>
      </c>
      <c r="C2143" s="568" t="s">
        <v>424</v>
      </c>
      <c r="D2143" s="567">
        <v>5815</v>
      </c>
      <c r="E2143" s="567">
        <v>45</v>
      </c>
      <c r="F2143" s="567">
        <v>17</v>
      </c>
      <c r="G2143" s="567">
        <v>325</v>
      </c>
      <c r="H2143" s="567">
        <v>3160</v>
      </c>
      <c r="O2143"/>
    </row>
    <row r="2144" spans="1:15" x14ac:dyDescent="0.2">
      <c r="A2144" s="567">
        <v>2048</v>
      </c>
      <c r="B2144" s="568" t="s">
        <v>2381</v>
      </c>
      <c r="C2144" s="568" t="s">
        <v>2396</v>
      </c>
      <c r="D2144" s="567">
        <v>5814</v>
      </c>
      <c r="E2144" s="567">
        <v>45</v>
      </c>
      <c r="F2144" s="567">
        <v>17</v>
      </c>
      <c r="G2144" s="567">
        <v>325</v>
      </c>
      <c r="H2144" s="567">
        <v>3160</v>
      </c>
      <c r="O2144"/>
    </row>
    <row r="2145" spans="1:15" x14ac:dyDescent="0.2">
      <c r="A2145" s="567">
        <v>2046</v>
      </c>
      <c r="B2145" s="568" t="s">
        <v>2381</v>
      </c>
      <c r="C2145" s="568" t="s">
        <v>2397</v>
      </c>
      <c r="D2145" s="567">
        <v>5812</v>
      </c>
      <c r="E2145" s="567">
        <v>45</v>
      </c>
      <c r="F2145" s="567">
        <v>17</v>
      </c>
      <c r="G2145" s="567">
        <v>325</v>
      </c>
      <c r="H2145" s="567">
        <v>3160</v>
      </c>
      <c r="O2145"/>
    </row>
    <row r="2146" spans="1:15" x14ac:dyDescent="0.2">
      <c r="A2146" s="567">
        <v>2044</v>
      </c>
      <c r="B2146" s="568" t="s">
        <v>2381</v>
      </c>
      <c r="C2146" s="568" t="s">
        <v>924</v>
      </c>
      <c r="D2146" s="567">
        <v>5810</v>
      </c>
      <c r="E2146" s="567">
        <v>45</v>
      </c>
      <c r="F2146" s="567">
        <v>17</v>
      </c>
      <c r="G2146" s="567">
        <v>325</v>
      </c>
      <c r="H2146" s="567">
        <v>3160</v>
      </c>
      <c r="O2146"/>
    </row>
    <row r="2147" spans="1:15" x14ac:dyDescent="0.2">
      <c r="A2147" s="567">
        <v>2047</v>
      </c>
      <c r="B2147" s="568" t="s">
        <v>2381</v>
      </c>
      <c r="C2147" s="568" t="s">
        <v>2407</v>
      </c>
      <c r="D2147" s="567">
        <v>5813</v>
      </c>
      <c r="E2147" s="567">
        <v>45</v>
      </c>
      <c r="F2147" s="567">
        <v>17</v>
      </c>
      <c r="G2147" s="567">
        <v>325</v>
      </c>
      <c r="H2147" s="567">
        <v>3160</v>
      </c>
      <c r="O2147"/>
    </row>
    <row r="2148" spans="1:15" x14ac:dyDescent="0.2">
      <c r="A2148" s="567">
        <v>2045</v>
      </c>
      <c r="B2148" s="568" t="s">
        <v>2381</v>
      </c>
      <c r="C2148" s="568" t="s">
        <v>2412</v>
      </c>
      <c r="D2148" s="567">
        <v>5811</v>
      </c>
      <c r="E2148" s="567">
        <v>45</v>
      </c>
      <c r="F2148" s="567">
        <v>17</v>
      </c>
      <c r="G2148" s="567">
        <v>325</v>
      </c>
      <c r="H2148" s="567">
        <v>3160</v>
      </c>
      <c r="O2148"/>
    </row>
    <row r="2149" spans="1:15" x14ac:dyDescent="0.2">
      <c r="A2149" s="567">
        <v>2816</v>
      </c>
      <c r="B2149" s="568" t="s">
        <v>2630</v>
      </c>
      <c r="C2149" s="568" t="s">
        <v>2630</v>
      </c>
      <c r="D2149" s="567">
        <v>8075</v>
      </c>
      <c r="E2149" s="567">
        <v>47</v>
      </c>
      <c r="F2149" s="567">
        <v>15</v>
      </c>
      <c r="G2149" s="567">
        <v>417</v>
      </c>
      <c r="H2149" s="567">
        <v>4100</v>
      </c>
      <c r="O2149"/>
    </row>
    <row r="2150" spans="1:15" x14ac:dyDescent="0.2">
      <c r="A2150" s="567">
        <v>1510</v>
      </c>
      <c r="B2150" s="568" t="s">
        <v>1647</v>
      </c>
      <c r="C2150" s="568" t="s">
        <v>1646</v>
      </c>
      <c r="D2150" s="567">
        <v>4151</v>
      </c>
      <c r="E2150" s="567">
        <v>55</v>
      </c>
      <c r="F2150" s="567">
        <v>7</v>
      </c>
      <c r="G2150" s="567">
        <v>235</v>
      </c>
      <c r="H2150" s="567">
        <v>2160</v>
      </c>
      <c r="O2150"/>
    </row>
    <row r="2151" spans="1:15" x14ac:dyDescent="0.2">
      <c r="A2151" s="567">
        <v>1509</v>
      </c>
      <c r="B2151" s="568" t="s">
        <v>1647</v>
      </c>
      <c r="C2151" s="568" t="s">
        <v>1647</v>
      </c>
      <c r="D2151" s="567">
        <v>4150</v>
      </c>
      <c r="E2151" s="567">
        <v>55</v>
      </c>
      <c r="F2151" s="567">
        <v>7</v>
      </c>
      <c r="G2151" s="567">
        <v>235</v>
      </c>
      <c r="H2151" s="567">
        <v>2160</v>
      </c>
      <c r="O2151"/>
    </row>
    <row r="2152" spans="1:15" x14ac:dyDescent="0.2">
      <c r="A2152" s="567">
        <v>1511</v>
      </c>
      <c r="B2152" s="568" t="s">
        <v>1647</v>
      </c>
      <c r="C2152" s="568" t="s">
        <v>1654</v>
      </c>
      <c r="D2152" s="567">
        <v>4152</v>
      </c>
      <c r="E2152" s="567">
        <v>55</v>
      </c>
      <c r="F2152" s="567">
        <v>7</v>
      </c>
      <c r="G2152" s="567">
        <v>235</v>
      </c>
      <c r="H2152" s="567">
        <v>2160</v>
      </c>
      <c r="O2152"/>
    </row>
    <row r="2153" spans="1:15" x14ac:dyDescent="0.2">
      <c r="A2153" s="567">
        <v>1512</v>
      </c>
      <c r="B2153" s="568" t="s">
        <v>1647</v>
      </c>
      <c r="C2153" s="568" t="s">
        <v>1675</v>
      </c>
      <c r="D2153" s="567">
        <v>4153</v>
      </c>
      <c r="E2153" s="567">
        <v>55</v>
      </c>
      <c r="F2153" s="567">
        <v>7</v>
      </c>
      <c r="G2153" s="567">
        <v>235</v>
      </c>
      <c r="H2153" s="567">
        <v>2160</v>
      </c>
      <c r="O2153"/>
    </row>
    <row r="2154" spans="1:15" x14ac:dyDescent="0.2">
      <c r="A2154" s="567">
        <v>1931</v>
      </c>
      <c r="B2154" s="568" t="s">
        <v>1876</v>
      </c>
      <c r="C2154" s="568" t="s">
        <v>1875</v>
      </c>
      <c r="D2154" s="567">
        <v>5453</v>
      </c>
      <c r="E2154" s="567">
        <v>84</v>
      </c>
      <c r="F2154" s="567">
        <v>6</v>
      </c>
      <c r="G2154" s="567">
        <v>315</v>
      </c>
      <c r="H2154" s="567">
        <v>3120</v>
      </c>
      <c r="O2154"/>
    </row>
    <row r="2155" spans="1:15" x14ac:dyDescent="0.2">
      <c r="A2155" s="567">
        <v>1930</v>
      </c>
      <c r="B2155" s="568" t="s">
        <v>1876</v>
      </c>
      <c r="C2155" s="568" t="s">
        <v>1877</v>
      </c>
      <c r="D2155" s="567">
        <v>5452</v>
      </c>
      <c r="E2155" s="567">
        <v>84</v>
      </c>
      <c r="F2155" s="567">
        <v>6</v>
      </c>
      <c r="G2155" s="567">
        <v>315</v>
      </c>
      <c r="H2155" s="567">
        <v>3120</v>
      </c>
      <c r="O2155"/>
    </row>
    <row r="2156" spans="1:15" x14ac:dyDescent="0.2">
      <c r="A2156" s="567">
        <v>1929</v>
      </c>
      <c r="B2156" s="568" t="s">
        <v>1876</v>
      </c>
      <c r="C2156" s="568" t="s">
        <v>1878</v>
      </c>
      <c r="D2156" s="567">
        <v>5451</v>
      </c>
      <c r="E2156" s="567">
        <v>84</v>
      </c>
      <c r="F2156" s="567">
        <v>6</v>
      </c>
      <c r="G2156" s="567">
        <v>315</v>
      </c>
      <c r="H2156" s="567">
        <v>3120</v>
      </c>
      <c r="O2156"/>
    </row>
    <row r="2157" spans="1:15" x14ac:dyDescent="0.2">
      <c r="A2157" s="567">
        <v>1928</v>
      </c>
      <c r="B2157" s="568" t="s">
        <v>1876</v>
      </c>
      <c r="C2157" s="568" t="s">
        <v>1876</v>
      </c>
      <c r="D2157" s="567">
        <v>5450</v>
      </c>
      <c r="E2157" s="567">
        <v>84</v>
      </c>
      <c r="F2157" s="567">
        <v>6</v>
      </c>
      <c r="G2157" s="567">
        <v>315</v>
      </c>
      <c r="H2157" s="567">
        <v>3120</v>
      </c>
      <c r="O2157"/>
    </row>
    <row r="2158" spans="1:15" x14ac:dyDescent="0.2">
      <c r="A2158" s="567">
        <v>530</v>
      </c>
      <c r="B2158" s="568" t="s">
        <v>728</v>
      </c>
      <c r="C2158" s="568" t="s">
        <v>728</v>
      </c>
      <c r="D2158" s="567">
        <v>1080</v>
      </c>
      <c r="E2158" s="567">
        <v>59</v>
      </c>
      <c r="F2158" s="567">
        <v>2</v>
      </c>
      <c r="G2158" s="567">
        <v>118</v>
      </c>
      <c r="H2158" s="567">
        <v>1170</v>
      </c>
      <c r="O2158"/>
    </row>
    <row r="2159" spans="1:15" x14ac:dyDescent="0.2">
      <c r="A2159" s="567">
        <v>341</v>
      </c>
      <c r="B2159" s="568" t="s">
        <v>1093</v>
      </c>
      <c r="C2159" s="568" t="s">
        <v>1092</v>
      </c>
      <c r="D2159" s="567">
        <v>586</v>
      </c>
      <c r="E2159" s="567">
        <v>62</v>
      </c>
      <c r="F2159" s="567">
        <v>19</v>
      </c>
      <c r="G2159" s="567">
        <v>127</v>
      </c>
      <c r="H2159" s="567">
        <v>1200</v>
      </c>
      <c r="O2159"/>
    </row>
    <row r="2160" spans="1:15" x14ac:dyDescent="0.2">
      <c r="A2160" s="567">
        <v>340</v>
      </c>
      <c r="B2160" s="568" t="s">
        <v>1093</v>
      </c>
      <c r="C2160" s="568" t="s">
        <v>1093</v>
      </c>
      <c r="D2160" s="567">
        <v>585</v>
      </c>
      <c r="E2160" s="567">
        <v>62</v>
      </c>
      <c r="F2160" s="567">
        <v>19</v>
      </c>
      <c r="G2160" s="567">
        <v>127</v>
      </c>
      <c r="H2160" s="567">
        <v>1200</v>
      </c>
      <c r="O2160"/>
    </row>
    <row r="2161" spans="1:15" x14ac:dyDescent="0.2">
      <c r="A2161" s="567">
        <v>333</v>
      </c>
      <c r="B2161" s="568" t="s">
        <v>1079</v>
      </c>
      <c r="C2161" s="568" t="s">
        <v>1079</v>
      </c>
      <c r="D2161" s="567">
        <v>565</v>
      </c>
      <c r="E2161" s="567">
        <v>63</v>
      </c>
      <c r="F2161" s="567">
        <v>19</v>
      </c>
      <c r="G2161" s="567">
        <v>127</v>
      </c>
      <c r="H2161" s="567">
        <v>1200</v>
      </c>
      <c r="O2161"/>
    </row>
    <row r="2162" spans="1:15" x14ac:dyDescent="0.2">
      <c r="A2162" s="567">
        <v>334</v>
      </c>
      <c r="B2162" s="568" t="s">
        <v>1079</v>
      </c>
      <c r="C2162" s="568" t="s">
        <v>1080</v>
      </c>
      <c r="D2162" s="567">
        <v>566</v>
      </c>
      <c r="E2162" s="567">
        <v>63</v>
      </c>
      <c r="F2162" s="567">
        <v>19</v>
      </c>
      <c r="G2162" s="567">
        <v>127</v>
      </c>
      <c r="H2162" s="567">
        <v>1200</v>
      </c>
      <c r="O2162"/>
    </row>
    <row r="2163" spans="1:15" x14ac:dyDescent="0.2">
      <c r="A2163" s="567">
        <v>335</v>
      </c>
      <c r="B2163" s="568" t="s">
        <v>1079</v>
      </c>
      <c r="C2163" s="568" t="s">
        <v>1081</v>
      </c>
      <c r="D2163" s="567">
        <v>567</v>
      </c>
      <c r="E2163" s="567">
        <v>63</v>
      </c>
      <c r="F2163" s="567">
        <v>19</v>
      </c>
      <c r="G2163" s="567">
        <v>127</v>
      </c>
      <c r="H2163" s="567">
        <v>1200</v>
      </c>
      <c r="O2163"/>
    </row>
    <row r="2164" spans="1:15" x14ac:dyDescent="0.2">
      <c r="A2164" s="567">
        <v>336</v>
      </c>
      <c r="B2164" s="568" t="s">
        <v>1079</v>
      </c>
      <c r="C2164" s="568" t="s">
        <v>1082</v>
      </c>
      <c r="D2164" s="567">
        <v>568</v>
      </c>
      <c r="E2164" s="567">
        <v>63</v>
      </c>
      <c r="F2164" s="567">
        <v>19</v>
      </c>
      <c r="G2164" s="567">
        <v>127</v>
      </c>
      <c r="H2164" s="567">
        <v>1200</v>
      </c>
      <c r="O2164"/>
    </row>
    <row r="2165" spans="1:15" x14ac:dyDescent="0.2">
      <c r="A2165" s="567">
        <v>2954</v>
      </c>
      <c r="B2165" s="568" t="s">
        <v>3198</v>
      </c>
      <c r="C2165" s="568" t="s">
        <v>3197</v>
      </c>
      <c r="D2165" s="567">
        <v>8522</v>
      </c>
      <c r="E2165" s="567">
        <v>91</v>
      </c>
      <c r="F2165" s="567">
        <v>11</v>
      </c>
      <c r="G2165" s="567">
        <v>425</v>
      </c>
      <c r="H2165" s="567">
        <v>4170</v>
      </c>
      <c r="O2165"/>
    </row>
    <row r="2166" spans="1:15" x14ac:dyDescent="0.2">
      <c r="A2166" s="567">
        <v>2952</v>
      </c>
      <c r="B2166" s="568" t="s">
        <v>3198</v>
      </c>
      <c r="C2166" s="568" t="s">
        <v>3198</v>
      </c>
      <c r="D2166" s="567">
        <v>8520</v>
      </c>
      <c r="E2166" s="567">
        <v>91</v>
      </c>
      <c r="F2166" s="567">
        <v>11</v>
      </c>
      <c r="G2166" s="567">
        <v>425</v>
      </c>
      <c r="H2166" s="567">
        <v>4170</v>
      </c>
      <c r="O2166"/>
    </row>
    <row r="2167" spans="1:15" x14ac:dyDescent="0.2">
      <c r="A2167" s="567">
        <v>2955</v>
      </c>
      <c r="B2167" s="568" t="s">
        <v>3198</v>
      </c>
      <c r="C2167" s="568" t="s">
        <v>3265</v>
      </c>
      <c r="D2167" s="567">
        <v>8523</v>
      </c>
      <c r="E2167" s="567">
        <v>91</v>
      </c>
      <c r="F2167" s="567">
        <v>11</v>
      </c>
      <c r="G2167" s="567">
        <v>425</v>
      </c>
      <c r="H2167" s="567">
        <v>4170</v>
      </c>
      <c r="O2167"/>
    </row>
    <row r="2168" spans="1:15" x14ac:dyDescent="0.2">
      <c r="A2168" s="567">
        <v>2953</v>
      </c>
      <c r="B2168" s="568" t="s">
        <v>3198</v>
      </c>
      <c r="C2168" s="568" t="s">
        <v>2894</v>
      </c>
      <c r="D2168" s="567">
        <v>8521</v>
      </c>
      <c r="E2168" s="567">
        <v>91</v>
      </c>
      <c r="F2168" s="567">
        <v>11</v>
      </c>
      <c r="G2168" s="567">
        <v>425</v>
      </c>
      <c r="H2168" s="567">
        <v>4170</v>
      </c>
      <c r="O2168"/>
    </row>
    <row r="2169" spans="1:15" x14ac:dyDescent="0.2">
      <c r="A2169" s="567">
        <v>479</v>
      </c>
      <c r="B2169" s="568" t="s">
        <v>782</v>
      </c>
      <c r="C2169" s="568" t="s">
        <v>781</v>
      </c>
      <c r="D2169" s="567">
        <v>921</v>
      </c>
      <c r="E2169" s="567">
        <v>60</v>
      </c>
      <c r="F2169" s="567">
        <v>2</v>
      </c>
      <c r="G2169" s="567">
        <v>118</v>
      </c>
      <c r="H2169" s="567">
        <v>1170</v>
      </c>
      <c r="O2169"/>
    </row>
    <row r="2170" spans="1:15" x14ac:dyDescent="0.2">
      <c r="A2170" s="567">
        <v>478</v>
      </c>
      <c r="B2170" s="568" t="s">
        <v>782</v>
      </c>
      <c r="C2170" s="568" t="s">
        <v>782</v>
      </c>
      <c r="D2170" s="567">
        <v>920</v>
      </c>
      <c r="E2170" s="567">
        <v>60</v>
      </c>
      <c r="F2170" s="567">
        <v>2</v>
      </c>
      <c r="G2170" s="567">
        <v>118</v>
      </c>
      <c r="H2170" s="567">
        <v>1170</v>
      </c>
      <c r="O2170"/>
    </row>
    <row r="2171" spans="1:15" x14ac:dyDescent="0.2">
      <c r="A2171" s="567">
        <v>432</v>
      </c>
      <c r="B2171" s="568" t="s">
        <v>605</v>
      </c>
      <c r="C2171" s="568" t="s">
        <v>604</v>
      </c>
      <c r="D2171" s="567">
        <v>810</v>
      </c>
      <c r="E2171" s="567">
        <v>110</v>
      </c>
      <c r="F2171" s="567">
        <v>1</v>
      </c>
      <c r="G2171" s="567">
        <v>125</v>
      </c>
      <c r="H2171" s="567">
        <v>1150</v>
      </c>
      <c r="O2171"/>
    </row>
    <row r="2172" spans="1:15" x14ac:dyDescent="0.2">
      <c r="A2172" s="567">
        <v>431</v>
      </c>
      <c r="B2172" s="568" t="s">
        <v>605</v>
      </c>
      <c r="C2172" s="568" t="s">
        <v>623</v>
      </c>
      <c r="D2172" s="567">
        <v>809</v>
      </c>
      <c r="E2172" s="567">
        <v>110</v>
      </c>
      <c r="F2172" s="567">
        <v>1</v>
      </c>
      <c r="G2172" s="567">
        <v>125</v>
      </c>
      <c r="H2172" s="567">
        <v>1150</v>
      </c>
      <c r="O2172"/>
    </row>
    <row r="2173" spans="1:15" x14ac:dyDescent="0.2">
      <c r="A2173" s="567">
        <v>429</v>
      </c>
      <c r="B2173" s="568" t="s">
        <v>605</v>
      </c>
      <c r="C2173" s="568" t="s">
        <v>636</v>
      </c>
      <c r="D2173" s="567">
        <v>807</v>
      </c>
      <c r="E2173" s="567">
        <v>110</v>
      </c>
      <c r="F2173" s="567">
        <v>1</v>
      </c>
      <c r="G2173" s="567">
        <v>125</v>
      </c>
      <c r="H2173" s="567">
        <v>1150</v>
      </c>
      <c r="O2173"/>
    </row>
    <row r="2174" spans="1:15" x14ac:dyDescent="0.2">
      <c r="A2174" s="567">
        <v>427</v>
      </c>
      <c r="B2174" s="568" t="s">
        <v>605</v>
      </c>
      <c r="C2174" s="568" t="s">
        <v>637</v>
      </c>
      <c r="D2174" s="567">
        <v>805</v>
      </c>
      <c r="E2174" s="567">
        <v>110</v>
      </c>
      <c r="F2174" s="567">
        <v>1</v>
      </c>
      <c r="G2174" s="567">
        <v>125</v>
      </c>
      <c r="H2174" s="567">
        <v>1150</v>
      </c>
      <c r="O2174"/>
    </row>
    <row r="2175" spans="1:15" x14ac:dyDescent="0.2">
      <c r="A2175" s="567">
        <v>428</v>
      </c>
      <c r="B2175" s="568" t="s">
        <v>605</v>
      </c>
      <c r="C2175" s="568" t="s">
        <v>640</v>
      </c>
      <c r="D2175" s="567">
        <v>806</v>
      </c>
      <c r="E2175" s="567">
        <v>110</v>
      </c>
      <c r="F2175" s="567">
        <v>1</v>
      </c>
      <c r="G2175" s="567">
        <v>125</v>
      </c>
      <c r="H2175" s="567">
        <v>1150</v>
      </c>
      <c r="O2175"/>
    </row>
    <row r="2176" spans="1:15" x14ac:dyDescent="0.2">
      <c r="A2176" s="567">
        <v>430</v>
      </c>
      <c r="B2176" s="568" t="s">
        <v>605</v>
      </c>
      <c r="C2176" s="568" t="s">
        <v>644</v>
      </c>
      <c r="D2176" s="567">
        <v>808</v>
      </c>
      <c r="E2176" s="567">
        <v>110</v>
      </c>
      <c r="F2176" s="567">
        <v>1</v>
      </c>
      <c r="G2176" s="567">
        <v>125</v>
      </c>
      <c r="H2176" s="567">
        <v>1150</v>
      </c>
      <c r="O2176"/>
    </row>
    <row r="2177" spans="1:15" x14ac:dyDescent="0.2">
      <c r="A2177" s="567">
        <v>3357</v>
      </c>
      <c r="B2177" s="568" t="s">
        <v>3166</v>
      </c>
      <c r="C2177" s="568" t="s">
        <v>3166</v>
      </c>
      <c r="D2177" s="567">
        <v>9800</v>
      </c>
      <c r="E2177" s="567">
        <v>45</v>
      </c>
      <c r="F2177" s="567">
        <v>9</v>
      </c>
      <c r="G2177" s="567">
        <v>435</v>
      </c>
      <c r="H2177" s="567">
        <v>4160</v>
      </c>
      <c r="O2177"/>
    </row>
    <row r="2178" spans="1:15" x14ac:dyDescent="0.2">
      <c r="A2178" s="567">
        <v>1809</v>
      </c>
      <c r="B2178" s="568" t="s">
        <v>2167</v>
      </c>
      <c r="C2178" s="568" t="s">
        <v>2167</v>
      </c>
      <c r="D2178" s="567">
        <v>4995</v>
      </c>
      <c r="E2178" s="567">
        <v>93</v>
      </c>
      <c r="F2178" s="567">
        <v>6</v>
      </c>
      <c r="G2178" s="567">
        <v>317</v>
      </c>
      <c r="H2178" s="567">
        <v>3140</v>
      </c>
      <c r="O2178"/>
    </row>
    <row r="2179" spans="1:15" x14ac:dyDescent="0.2">
      <c r="A2179" s="567">
        <v>1123</v>
      </c>
      <c r="B2179" s="568" t="s">
        <v>1492</v>
      </c>
      <c r="C2179" s="568" t="s">
        <v>1491</v>
      </c>
      <c r="D2179" s="567">
        <v>2897</v>
      </c>
      <c r="E2179" s="567">
        <v>74</v>
      </c>
      <c r="F2179" s="567">
        <v>2</v>
      </c>
      <c r="G2179" s="567">
        <v>225</v>
      </c>
      <c r="H2179" s="567">
        <v>2140</v>
      </c>
      <c r="O2179"/>
    </row>
    <row r="2180" spans="1:15" x14ac:dyDescent="0.2">
      <c r="A2180" s="567">
        <v>1122</v>
      </c>
      <c r="B2180" s="568" t="s">
        <v>1492</v>
      </c>
      <c r="C2180" s="568" t="s">
        <v>1493</v>
      </c>
      <c r="D2180" s="567">
        <v>2896</v>
      </c>
      <c r="E2180" s="567">
        <v>74</v>
      </c>
      <c r="F2180" s="567">
        <v>2</v>
      </c>
      <c r="G2180" s="567">
        <v>225</v>
      </c>
      <c r="H2180" s="567">
        <v>2140</v>
      </c>
      <c r="O2180"/>
    </row>
    <row r="2181" spans="1:15" x14ac:dyDescent="0.2">
      <c r="A2181" s="567">
        <v>1121</v>
      </c>
      <c r="B2181" s="568" t="s">
        <v>1492</v>
      </c>
      <c r="C2181" s="568" t="s">
        <v>1492</v>
      </c>
      <c r="D2181" s="567">
        <v>2895</v>
      </c>
      <c r="E2181" s="567">
        <v>74</v>
      </c>
      <c r="F2181" s="567">
        <v>2</v>
      </c>
      <c r="G2181" s="567">
        <v>225</v>
      </c>
      <c r="H2181" s="567">
        <v>2140</v>
      </c>
      <c r="O2181"/>
    </row>
    <row r="2182" spans="1:15" x14ac:dyDescent="0.2">
      <c r="A2182" s="567">
        <v>3073</v>
      </c>
      <c r="B2182" s="568" t="s">
        <v>2738</v>
      </c>
      <c r="C2182" s="568" t="s">
        <v>2738</v>
      </c>
      <c r="D2182" s="567">
        <v>8870</v>
      </c>
      <c r="E2182" s="567">
        <v>87</v>
      </c>
      <c r="F2182" s="567">
        <v>11</v>
      </c>
      <c r="G2182" s="567">
        <v>426</v>
      </c>
      <c r="H2182" s="567">
        <v>4110</v>
      </c>
      <c r="O2182"/>
    </row>
    <row r="2183" spans="1:15" x14ac:dyDescent="0.2">
      <c r="A2183" s="567">
        <v>3074</v>
      </c>
      <c r="B2183" s="568" t="s">
        <v>2738</v>
      </c>
      <c r="C2183" s="568" t="s">
        <v>2739</v>
      </c>
      <c r="D2183" s="567">
        <v>8871</v>
      </c>
      <c r="E2183" s="567">
        <v>87</v>
      </c>
      <c r="F2183" s="567">
        <v>11</v>
      </c>
      <c r="G2183" s="567">
        <v>426</v>
      </c>
      <c r="H2183" s="567">
        <v>4110</v>
      </c>
      <c r="O2183"/>
    </row>
    <row r="2184" spans="1:15" x14ac:dyDescent="0.2">
      <c r="A2184" s="567">
        <v>3075</v>
      </c>
      <c r="B2184" s="568" t="s">
        <v>2738</v>
      </c>
      <c r="C2184" s="568" t="s">
        <v>2740</v>
      </c>
      <c r="D2184" s="567">
        <v>8872</v>
      </c>
      <c r="E2184" s="567">
        <v>87</v>
      </c>
      <c r="F2184" s="567">
        <v>11</v>
      </c>
      <c r="G2184" s="567">
        <v>426</v>
      </c>
      <c r="H2184" s="567">
        <v>4110</v>
      </c>
      <c r="O2184"/>
    </row>
    <row r="2185" spans="1:15" x14ac:dyDescent="0.2">
      <c r="A2185" s="567">
        <v>378</v>
      </c>
      <c r="B2185" s="568" t="s">
        <v>536</v>
      </c>
      <c r="C2185" s="568" t="s">
        <v>535</v>
      </c>
      <c r="D2185" s="567">
        <v>676</v>
      </c>
      <c r="E2185" s="567">
        <v>78</v>
      </c>
      <c r="F2185" s="567">
        <v>1</v>
      </c>
      <c r="G2185" s="567">
        <v>125</v>
      </c>
      <c r="H2185" s="567">
        <v>1150</v>
      </c>
      <c r="O2185"/>
    </row>
    <row r="2186" spans="1:15" x14ac:dyDescent="0.2">
      <c r="A2186" s="567">
        <v>377</v>
      </c>
      <c r="B2186" s="568" t="s">
        <v>536</v>
      </c>
      <c r="C2186" s="568" t="s">
        <v>536</v>
      </c>
      <c r="D2186" s="567">
        <v>675</v>
      </c>
      <c r="E2186" s="567">
        <v>78</v>
      </c>
      <c r="F2186" s="567">
        <v>1</v>
      </c>
      <c r="G2186" s="567">
        <v>125</v>
      </c>
      <c r="H2186" s="567">
        <v>1150</v>
      </c>
      <c r="O2186"/>
    </row>
    <row r="2187" spans="1:15" x14ac:dyDescent="0.2">
      <c r="A2187" s="567">
        <v>382</v>
      </c>
      <c r="B2187" s="568" t="s">
        <v>541</v>
      </c>
      <c r="C2187" s="568" t="s">
        <v>541</v>
      </c>
      <c r="D2187" s="567">
        <v>685</v>
      </c>
      <c r="E2187" s="567">
        <v>79</v>
      </c>
      <c r="F2187" s="567">
        <v>1</v>
      </c>
      <c r="G2187" s="567">
        <v>125</v>
      </c>
      <c r="H2187" s="567">
        <v>1150</v>
      </c>
      <c r="O2187"/>
    </row>
    <row r="2188" spans="1:15" x14ac:dyDescent="0.2">
      <c r="A2188" s="567">
        <v>1729</v>
      </c>
      <c r="B2188" s="568" t="s">
        <v>2227</v>
      </c>
      <c r="C2188" s="568" t="s">
        <v>2226</v>
      </c>
      <c r="D2188" s="567">
        <v>4718</v>
      </c>
      <c r="E2188" s="567">
        <v>96</v>
      </c>
      <c r="F2188" s="567">
        <v>3</v>
      </c>
      <c r="G2188" s="567">
        <v>317</v>
      </c>
      <c r="H2188" s="567">
        <v>3140</v>
      </c>
      <c r="O2188"/>
    </row>
    <row r="2189" spans="1:15" x14ac:dyDescent="0.2">
      <c r="A2189" s="567">
        <v>1721</v>
      </c>
      <c r="B2189" s="568" t="s">
        <v>2227</v>
      </c>
      <c r="C2189" s="568" t="s">
        <v>2227</v>
      </c>
      <c r="D2189" s="567">
        <v>4710</v>
      </c>
      <c r="E2189" s="567">
        <v>96</v>
      </c>
      <c r="F2189" s="567">
        <v>3</v>
      </c>
      <c r="G2189" s="567">
        <v>317</v>
      </c>
      <c r="H2189" s="567">
        <v>3140</v>
      </c>
      <c r="O2189"/>
    </row>
    <row r="2190" spans="1:15" x14ac:dyDescent="0.2">
      <c r="A2190" s="567">
        <v>1722</v>
      </c>
      <c r="B2190" s="568" t="s">
        <v>2227</v>
      </c>
      <c r="C2190" s="568" t="s">
        <v>2233</v>
      </c>
      <c r="D2190" s="567">
        <v>4711</v>
      </c>
      <c r="E2190" s="567">
        <v>96</v>
      </c>
      <c r="F2190" s="567">
        <v>3</v>
      </c>
      <c r="G2190" s="567">
        <v>317</v>
      </c>
      <c r="H2190" s="567">
        <v>3140</v>
      </c>
      <c r="O2190"/>
    </row>
    <row r="2191" spans="1:15" x14ac:dyDescent="0.2">
      <c r="A2191" s="567">
        <v>1723</v>
      </c>
      <c r="B2191" s="568" t="s">
        <v>2227</v>
      </c>
      <c r="C2191" s="568" t="s">
        <v>1104</v>
      </c>
      <c r="D2191" s="567">
        <v>4712</v>
      </c>
      <c r="E2191" s="567">
        <v>96</v>
      </c>
      <c r="F2191" s="567">
        <v>3</v>
      </c>
      <c r="G2191" s="567">
        <v>317</v>
      </c>
      <c r="H2191" s="567">
        <v>3140</v>
      </c>
      <c r="O2191"/>
    </row>
    <row r="2192" spans="1:15" x14ac:dyDescent="0.2">
      <c r="A2192" s="567">
        <v>1725</v>
      </c>
      <c r="B2192" s="568" t="s">
        <v>2227</v>
      </c>
      <c r="C2192" s="568" t="s">
        <v>2234</v>
      </c>
      <c r="D2192" s="567">
        <v>4714</v>
      </c>
      <c r="E2192" s="567">
        <v>96</v>
      </c>
      <c r="F2192" s="567">
        <v>3</v>
      </c>
      <c r="G2192" s="567">
        <v>317</v>
      </c>
      <c r="H2192" s="567">
        <v>3140</v>
      </c>
      <c r="O2192"/>
    </row>
    <row r="2193" spans="1:15" x14ac:dyDescent="0.2">
      <c r="A2193" s="567">
        <v>1728</v>
      </c>
      <c r="B2193" s="568" t="s">
        <v>2227</v>
      </c>
      <c r="C2193" s="568" t="s">
        <v>2236</v>
      </c>
      <c r="D2193" s="567">
        <v>4717</v>
      </c>
      <c r="E2193" s="567">
        <v>96</v>
      </c>
      <c r="F2193" s="567">
        <v>3</v>
      </c>
      <c r="G2193" s="567">
        <v>317</v>
      </c>
      <c r="H2193" s="567">
        <v>3140</v>
      </c>
      <c r="O2193"/>
    </row>
    <row r="2194" spans="1:15" x14ac:dyDescent="0.2">
      <c r="A2194" s="567">
        <v>1724</v>
      </c>
      <c r="B2194" s="568" t="s">
        <v>2227</v>
      </c>
      <c r="C2194" s="568" t="s">
        <v>2237</v>
      </c>
      <c r="D2194" s="567">
        <v>4713</v>
      </c>
      <c r="E2194" s="567">
        <v>96</v>
      </c>
      <c r="F2194" s="567">
        <v>3</v>
      </c>
      <c r="G2194" s="567">
        <v>317</v>
      </c>
      <c r="H2194" s="567">
        <v>3140</v>
      </c>
      <c r="O2194"/>
    </row>
    <row r="2195" spans="1:15" x14ac:dyDescent="0.2">
      <c r="A2195" s="567">
        <v>1730</v>
      </c>
      <c r="B2195" s="568" t="s">
        <v>2227</v>
      </c>
      <c r="C2195" s="568" t="s">
        <v>2238</v>
      </c>
      <c r="D2195" s="567">
        <v>4719</v>
      </c>
      <c r="E2195" s="567">
        <v>96</v>
      </c>
      <c r="F2195" s="567">
        <v>3</v>
      </c>
      <c r="G2195" s="567">
        <v>317</v>
      </c>
      <c r="H2195" s="567">
        <v>3140</v>
      </c>
      <c r="O2195"/>
    </row>
    <row r="2196" spans="1:15" x14ac:dyDescent="0.2">
      <c r="A2196" s="567">
        <v>1731</v>
      </c>
      <c r="B2196" s="568" t="s">
        <v>2227</v>
      </c>
      <c r="C2196" s="568" t="s">
        <v>2239</v>
      </c>
      <c r="D2196" s="567">
        <v>4720</v>
      </c>
      <c r="E2196" s="567">
        <v>96</v>
      </c>
      <c r="F2196" s="567">
        <v>3</v>
      </c>
      <c r="G2196" s="567">
        <v>317</v>
      </c>
      <c r="H2196" s="567">
        <v>3140</v>
      </c>
      <c r="O2196"/>
    </row>
    <row r="2197" spans="1:15" x14ac:dyDescent="0.2">
      <c r="A2197" s="567">
        <v>1732</v>
      </c>
      <c r="B2197" s="568" t="s">
        <v>2227</v>
      </c>
      <c r="C2197" s="568" t="s">
        <v>2240</v>
      </c>
      <c r="D2197" s="567">
        <v>4721</v>
      </c>
      <c r="E2197" s="567">
        <v>96</v>
      </c>
      <c r="F2197" s="567">
        <v>3</v>
      </c>
      <c r="G2197" s="567">
        <v>317</v>
      </c>
      <c r="H2197" s="567">
        <v>3140</v>
      </c>
      <c r="O2197"/>
    </row>
    <row r="2198" spans="1:15" x14ac:dyDescent="0.2">
      <c r="A2198" s="567">
        <v>1727</v>
      </c>
      <c r="B2198" s="568" t="s">
        <v>2227</v>
      </c>
      <c r="C2198" s="568" t="s">
        <v>2246</v>
      </c>
      <c r="D2198" s="567">
        <v>4716</v>
      </c>
      <c r="E2198" s="567">
        <v>96</v>
      </c>
      <c r="F2198" s="567">
        <v>3</v>
      </c>
      <c r="G2198" s="567">
        <v>317</v>
      </c>
      <c r="H2198" s="567">
        <v>3140</v>
      </c>
      <c r="O2198"/>
    </row>
    <row r="2199" spans="1:15" x14ac:dyDescent="0.2">
      <c r="A2199" s="567">
        <v>1726</v>
      </c>
      <c r="B2199" s="568" t="s">
        <v>2227</v>
      </c>
      <c r="C2199" s="568" t="s">
        <v>2251</v>
      </c>
      <c r="D2199" s="567">
        <v>4715</v>
      </c>
      <c r="E2199" s="567">
        <v>96</v>
      </c>
      <c r="F2199" s="567">
        <v>3</v>
      </c>
      <c r="G2199" s="567">
        <v>317</v>
      </c>
      <c r="H2199" s="567">
        <v>3140</v>
      </c>
      <c r="O2199"/>
    </row>
    <row r="2200" spans="1:15" x14ac:dyDescent="0.2">
      <c r="A2200" s="567">
        <v>2631</v>
      </c>
      <c r="B2200" s="568" t="s">
        <v>2997</v>
      </c>
      <c r="C2200" s="568" t="s">
        <v>2997</v>
      </c>
      <c r="D2200" s="567">
        <v>7555</v>
      </c>
      <c r="E2200" s="567">
        <v>31</v>
      </c>
      <c r="F2200" s="567">
        <v>18</v>
      </c>
      <c r="G2200" s="567">
        <v>416</v>
      </c>
      <c r="H2200" s="567">
        <v>4140</v>
      </c>
      <c r="O2200"/>
    </row>
    <row r="2201" spans="1:15" x14ac:dyDescent="0.2">
      <c r="A2201" s="567">
        <v>1177</v>
      </c>
      <c r="B2201" s="568" t="s">
        <v>1387</v>
      </c>
      <c r="C2201" s="568" t="s">
        <v>1387</v>
      </c>
      <c r="D2201" s="567">
        <v>3100</v>
      </c>
      <c r="E2201" s="567">
        <v>62</v>
      </c>
      <c r="F2201" s="567">
        <v>3</v>
      </c>
      <c r="G2201" s="567">
        <v>226</v>
      </c>
      <c r="H2201" s="567">
        <v>2130</v>
      </c>
      <c r="O2201"/>
    </row>
    <row r="2202" spans="1:15" x14ac:dyDescent="0.2">
      <c r="A2202" s="567">
        <v>3040</v>
      </c>
      <c r="B2202" s="568" t="s">
        <v>2763</v>
      </c>
      <c r="C2202" s="568" t="s">
        <v>2763</v>
      </c>
      <c r="D2202" s="567">
        <v>8750</v>
      </c>
      <c r="E2202" s="567">
        <v>90</v>
      </c>
      <c r="F2202" s="567">
        <v>11</v>
      </c>
      <c r="G2202" s="567">
        <v>426</v>
      </c>
      <c r="H2202" s="567">
        <v>4110</v>
      </c>
      <c r="O2202"/>
    </row>
    <row r="2203" spans="1:15" x14ac:dyDescent="0.2">
      <c r="A2203" s="567">
        <v>1755</v>
      </c>
      <c r="B2203" s="568" t="s">
        <v>2127</v>
      </c>
      <c r="C2203" s="568" t="s">
        <v>2127</v>
      </c>
      <c r="D2203" s="567">
        <v>4810</v>
      </c>
      <c r="E2203" s="567">
        <v>97</v>
      </c>
      <c r="F2203" s="567">
        <v>3</v>
      </c>
      <c r="G2203" s="567">
        <v>317</v>
      </c>
      <c r="H2203" s="567">
        <v>3140</v>
      </c>
      <c r="O2203"/>
    </row>
    <row r="2204" spans="1:15" x14ac:dyDescent="0.2">
      <c r="A2204" s="567">
        <v>769</v>
      </c>
      <c r="B2204" s="568" t="s">
        <v>826</v>
      </c>
      <c r="C2204" s="568" t="s">
        <v>826</v>
      </c>
      <c r="D2204" s="567">
        <v>1825</v>
      </c>
      <c r="E2204" s="567">
        <v>53</v>
      </c>
      <c r="F2204" s="567">
        <v>18</v>
      </c>
      <c r="G2204" s="567">
        <v>116</v>
      </c>
      <c r="H2204" s="567">
        <v>1180</v>
      </c>
      <c r="O2204"/>
    </row>
    <row r="2205" spans="1:15" x14ac:dyDescent="0.2">
      <c r="A2205" s="567">
        <v>2326</v>
      </c>
      <c r="B2205" s="568" t="s">
        <v>2330</v>
      </c>
      <c r="C2205" s="568" t="s">
        <v>2330</v>
      </c>
      <c r="D2205" s="567">
        <v>6700</v>
      </c>
      <c r="E2205" s="567">
        <v>61</v>
      </c>
      <c r="F2205" s="567">
        <v>4</v>
      </c>
      <c r="G2205" s="567">
        <v>335</v>
      </c>
      <c r="H2205" s="567">
        <v>3151</v>
      </c>
      <c r="O2205"/>
    </row>
    <row r="2206" spans="1:15" x14ac:dyDescent="0.2">
      <c r="A2206" s="567">
        <v>2327</v>
      </c>
      <c r="B2206" s="568" t="s">
        <v>2330</v>
      </c>
      <c r="C2206" s="568" t="s">
        <v>2331</v>
      </c>
      <c r="D2206" s="567">
        <v>6701</v>
      </c>
      <c r="E2206" s="567">
        <v>61</v>
      </c>
      <c r="F2206" s="567">
        <v>4</v>
      </c>
      <c r="G2206" s="567">
        <v>335</v>
      </c>
      <c r="H2206" s="567">
        <v>3151</v>
      </c>
      <c r="O2206"/>
    </row>
    <row r="2207" spans="1:15" x14ac:dyDescent="0.2">
      <c r="A2207" s="567">
        <v>2328</v>
      </c>
      <c r="B2207" s="568" t="s">
        <v>2330</v>
      </c>
      <c r="C2207" s="568" t="s">
        <v>454</v>
      </c>
      <c r="D2207" s="567">
        <v>6702</v>
      </c>
      <c r="E2207" s="567">
        <v>61</v>
      </c>
      <c r="F2207" s="567">
        <v>4</v>
      </c>
      <c r="G2207" s="567">
        <v>335</v>
      </c>
      <c r="H2207" s="567">
        <v>3151</v>
      </c>
      <c r="O2207"/>
    </row>
    <row r="2208" spans="1:15" x14ac:dyDescent="0.2">
      <c r="A2208" s="567">
        <v>218</v>
      </c>
      <c r="B2208" s="568" t="s">
        <v>910</v>
      </c>
      <c r="C2208" s="568" t="s">
        <v>909</v>
      </c>
      <c r="D2208" s="567">
        <v>349</v>
      </c>
      <c r="E2208" s="567">
        <v>66</v>
      </c>
      <c r="F2208" s="567">
        <v>2</v>
      </c>
      <c r="G2208" s="567">
        <v>126</v>
      </c>
      <c r="H2208" s="567">
        <v>1190</v>
      </c>
      <c r="O2208"/>
    </row>
    <row r="2209" spans="1:15" x14ac:dyDescent="0.2">
      <c r="A2209" s="567">
        <v>219</v>
      </c>
      <c r="B2209" s="568" t="s">
        <v>910</v>
      </c>
      <c r="C2209" s="568" t="s">
        <v>531</v>
      </c>
      <c r="D2209" s="567">
        <v>350</v>
      </c>
      <c r="E2209" s="567">
        <v>66</v>
      </c>
      <c r="F2209" s="567">
        <v>2</v>
      </c>
      <c r="G2209" s="567">
        <v>126</v>
      </c>
      <c r="H2209" s="567">
        <v>1190</v>
      </c>
      <c r="O2209"/>
    </row>
    <row r="2210" spans="1:15" x14ac:dyDescent="0.2">
      <c r="A2210" s="567">
        <v>217</v>
      </c>
      <c r="B2210" s="568" t="s">
        <v>910</v>
      </c>
      <c r="C2210" s="568" t="s">
        <v>915</v>
      </c>
      <c r="D2210" s="567">
        <v>348</v>
      </c>
      <c r="E2210" s="567">
        <v>66</v>
      </c>
      <c r="F2210" s="567">
        <v>2</v>
      </c>
      <c r="G2210" s="567">
        <v>126</v>
      </c>
      <c r="H2210" s="567">
        <v>1190</v>
      </c>
      <c r="O2210"/>
    </row>
    <row r="2211" spans="1:15" x14ac:dyDescent="0.2">
      <c r="A2211" s="567">
        <v>215</v>
      </c>
      <c r="B2211" s="568" t="s">
        <v>910</v>
      </c>
      <c r="C2211" s="568" t="s">
        <v>917</v>
      </c>
      <c r="D2211" s="567">
        <v>346</v>
      </c>
      <c r="E2211" s="567">
        <v>66</v>
      </c>
      <c r="F2211" s="567">
        <v>2</v>
      </c>
      <c r="G2211" s="567">
        <v>126</v>
      </c>
      <c r="H2211" s="567">
        <v>1190</v>
      </c>
      <c r="O2211"/>
    </row>
    <row r="2212" spans="1:15" x14ac:dyDescent="0.2">
      <c r="A2212" s="567">
        <v>214</v>
      </c>
      <c r="B2212" s="568" t="s">
        <v>910</v>
      </c>
      <c r="C2212" s="568" t="s">
        <v>910</v>
      </c>
      <c r="D2212" s="567">
        <v>345</v>
      </c>
      <c r="E2212" s="567">
        <v>66</v>
      </c>
      <c r="F2212" s="567">
        <v>2</v>
      </c>
      <c r="G2212" s="567">
        <v>126</v>
      </c>
      <c r="H2212" s="567">
        <v>1190</v>
      </c>
      <c r="O2212"/>
    </row>
    <row r="2213" spans="1:15" x14ac:dyDescent="0.2">
      <c r="A2213" s="567">
        <v>216</v>
      </c>
      <c r="B2213" s="568" t="s">
        <v>910</v>
      </c>
      <c r="C2213" s="568" t="s">
        <v>921</v>
      </c>
      <c r="D2213" s="567">
        <v>347</v>
      </c>
      <c r="E2213" s="567">
        <v>66</v>
      </c>
      <c r="F2213" s="567">
        <v>2</v>
      </c>
      <c r="G2213" s="567">
        <v>126</v>
      </c>
      <c r="H2213" s="567">
        <v>1190</v>
      </c>
      <c r="O2213"/>
    </row>
    <row r="2214" spans="1:15" x14ac:dyDescent="0.2">
      <c r="A2214" s="567">
        <v>220</v>
      </c>
      <c r="B2214" s="568" t="s">
        <v>910</v>
      </c>
      <c r="C2214" s="568" t="s">
        <v>753</v>
      </c>
      <c r="D2214" s="567">
        <v>351</v>
      </c>
      <c r="E2214" s="567">
        <v>66</v>
      </c>
      <c r="F2214" s="567">
        <v>2</v>
      </c>
      <c r="G2214" s="567">
        <v>126</v>
      </c>
      <c r="H2214" s="567">
        <v>1190</v>
      </c>
      <c r="O2214"/>
    </row>
    <row r="2215" spans="1:15" x14ac:dyDescent="0.2">
      <c r="A2215" s="567">
        <v>221</v>
      </c>
      <c r="B2215" s="568" t="s">
        <v>910</v>
      </c>
      <c r="C2215" s="568" t="s">
        <v>971</v>
      </c>
      <c r="D2215" s="567">
        <v>352</v>
      </c>
      <c r="E2215" s="567">
        <v>66</v>
      </c>
      <c r="F2215" s="567">
        <v>2</v>
      </c>
      <c r="G2215" s="567">
        <v>126</v>
      </c>
      <c r="H2215" s="567">
        <v>1190</v>
      </c>
      <c r="O2215"/>
    </row>
    <row r="2216" spans="1:15" x14ac:dyDescent="0.2">
      <c r="A2216" s="567">
        <v>222</v>
      </c>
      <c r="B2216" s="568" t="s">
        <v>910</v>
      </c>
      <c r="C2216" s="568" t="s">
        <v>984</v>
      </c>
      <c r="D2216" s="567">
        <v>353</v>
      </c>
      <c r="E2216" s="567">
        <v>66</v>
      </c>
      <c r="F2216" s="567">
        <v>2</v>
      </c>
      <c r="G2216" s="567">
        <v>126</v>
      </c>
      <c r="H2216" s="567">
        <v>1190</v>
      </c>
      <c r="O2216"/>
    </row>
    <row r="2217" spans="1:15" x14ac:dyDescent="0.2">
      <c r="A2217" s="567">
        <v>223</v>
      </c>
      <c r="B2217" s="568" t="s">
        <v>910</v>
      </c>
      <c r="C2217" s="568" t="s">
        <v>986</v>
      </c>
      <c r="D2217" s="567">
        <v>354</v>
      </c>
      <c r="E2217" s="567">
        <v>66</v>
      </c>
      <c r="F2217" s="567">
        <v>2</v>
      </c>
      <c r="G2217" s="567">
        <v>126</v>
      </c>
      <c r="H2217" s="567">
        <v>1190</v>
      </c>
      <c r="O2217"/>
    </row>
    <row r="2218" spans="1:15" x14ac:dyDescent="0.2">
      <c r="A2218" s="567">
        <v>1430</v>
      </c>
      <c r="B2218" s="568" t="s">
        <v>1621</v>
      </c>
      <c r="C2218" s="568" t="s">
        <v>1620</v>
      </c>
      <c r="D2218" s="567">
        <v>3905</v>
      </c>
      <c r="E2218" s="567">
        <v>75</v>
      </c>
      <c r="F2218" s="567">
        <v>2</v>
      </c>
      <c r="G2218" s="567">
        <v>236</v>
      </c>
      <c r="H2218" s="567">
        <v>2150</v>
      </c>
      <c r="O2218"/>
    </row>
    <row r="2219" spans="1:15" x14ac:dyDescent="0.2">
      <c r="A2219" s="567">
        <v>1431</v>
      </c>
      <c r="B2219" s="568" t="s">
        <v>1621</v>
      </c>
      <c r="C2219" s="568" t="s">
        <v>1630</v>
      </c>
      <c r="D2219" s="567">
        <v>3906</v>
      </c>
      <c r="E2219" s="567">
        <v>75</v>
      </c>
      <c r="F2219" s="567">
        <v>2</v>
      </c>
      <c r="G2219" s="567">
        <v>236</v>
      </c>
      <c r="H2219" s="567">
        <v>2150</v>
      </c>
      <c r="O2219"/>
    </row>
    <row r="2220" spans="1:15" x14ac:dyDescent="0.2">
      <c r="A2220" s="567">
        <v>2845</v>
      </c>
      <c r="B2220" s="568" t="s">
        <v>3259</v>
      </c>
      <c r="C2220" s="568" t="s">
        <v>3259</v>
      </c>
      <c r="D2220" s="567">
        <v>8190</v>
      </c>
      <c r="E2220" s="567">
        <v>92</v>
      </c>
      <c r="F2220" s="567">
        <v>13</v>
      </c>
      <c r="G2220" s="567">
        <v>425</v>
      </c>
      <c r="H2220" s="567">
        <v>4170</v>
      </c>
      <c r="O2220"/>
    </row>
    <row r="2221" spans="1:15" x14ac:dyDescent="0.2">
      <c r="A2221" s="567">
        <v>2924</v>
      </c>
      <c r="B2221" s="568" t="s">
        <v>3187</v>
      </c>
      <c r="C2221" s="568" t="s">
        <v>3187</v>
      </c>
      <c r="D2221" s="567">
        <v>8395</v>
      </c>
      <c r="E2221" s="567">
        <v>93</v>
      </c>
      <c r="F2221" s="567">
        <v>12</v>
      </c>
      <c r="G2221" s="567">
        <v>425</v>
      </c>
      <c r="H2221" s="567">
        <v>4170</v>
      </c>
      <c r="O2221"/>
    </row>
    <row r="2222" spans="1:15" x14ac:dyDescent="0.2">
      <c r="A2222" s="567">
        <v>1740</v>
      </c>
      <c r="B2222" s="568" t="s">
        <v>2141</v>
      </c>
      <c r="C2222" s="568" t="s">
        <v>2141</v>
      </c>
      <c r="D2222" s="567">
        <v>4760</v>
      </c>
      <c r="E2222" s="567">
        <v>98</v>
      </c>
      <c r="F2222" s="567">
        <v>5</v>
      </c>
      <c r="G2222" s="567">
        <v>317</v>
      </c>
      <c r="H2222" s="567">
        <v>3140</v>
      </c>
      <c r="O2222"/>
    </row>
    <row r="2223" spans="1:15" x14ac:dyDescent="0.2">
      <c r="A2223" s="567">
        <v>1741</v>
      </c>
      <c r="B2223" s="568" t="s">
        <v>2141</v>
      </c>
      <c r="C2223" s="568" t="s">
        <v>2142</v>
      </c>
      <c r="D2223" s="567">
        <v>4761</v>
      </c>
      <c r="E2223" s="567">
        <v>98</v>
      </c>
      <c r="F2223" s="567">
        <v>5</v>
      </c>
      <c r="G2223" s="567">
        <v>317</v>
      </c>
      <c r="H2223" s="567">
        <v>3140</v>
      </c>
      <c r="O2223"/>
    </row>
    <row r="2224" spans="1:15" x14ac:dyDescent="0.2">
      <c r="A2224" s="567">
        <v>1742</v>
      </c>
      <c r="B2224" s="568" t="s">
        <v>2141</v>
      </c>
      <c r="C2224" s="568" t="s">
        <v>2143</v>
      </c>
      <c r="D2224" s="567">
        <v>4762</v>
      </c>
      <c r="E2224" s="567">
        <v>98</v>
      </c>
      <c r="F2224" s="567">
        <v>5</v>
      </c>
      <c r="G2224" s="567">
        <v>317</v>
      </c>
      <c r="H2224" s="567">
        <v>3140</v>
      </c>
      <c r="O2224"/>
    </row>
    <row r="2225" spans="1:15" x14ac:dyDescent="0.2">
      <c r="A2225" s="567">
        <v>1743</v>
      </c>
      <c r="B2225" s="568" t="s">
        <v>2141</v>
      </c>
      <c r="C2225" s="568" t="s">
        <v>2144</v>
      </c>
      <c r="D2225" s="567">
        <v>4763</v>
      </c>
      <c r="E2225" s="567">
        <v>98</v>
      </c>
      <c r="F2225" s="567">
        <v>5</v>
      </c>
      <c r="G2225" s="567">
        <v>317</v>
      </c>
      <c r="H2225" s="567">
        <v>3140</v>
      </c>
      <c r="O2225"/>
    </row>
    <row r="2226" spans="1:15" x14ac:dyDescent="0.2">
      <c r="A2226" s="567">
        <v>1744</v>
      </c>
      <c r="B2226" s="568" t="s">
        <v>2141</v>
      </c>
      <c r="C2226" s="568" t="s">
        <v>2145</v>
      </c>
      <c r="D2226" s="567">
        <v>4764</v>
      </c>
      <c r="E2226" s="567">
        <v>98</v>
      </c>
      <c r="F2226" s="567">
        <v>5</v>
      </c>
      <c r="G2226" s="567">
        <v>317</v>
      </c>
      <c r="H2226" s="567">
        <v>3140</v>
      </c>
      <c r="O2226"/>
    </row>
    <row r="2227" spans="1:15" x14ac:dyDescent="0.2">
      <c r="A2227" s="567">
        <v>565</v>
      </c>
      <c r="B2227" s="568" t="s">
        <v>230</v>
      </c>
      <c r="C2227" s="568" t="s">
        <v>230</v>
      </c>
      <c r="D2227" s="567">
        <v>1210</v>
      </c>
      <c r="E2227" s="567">
        <v>53</v>
      </c>
      <c r="F2227" s="567">
        <v>19</v>
      </c>
      <c r="G2227" s="567">
        <v>119</v>
      </c>
      <c r="H2227" s="567">
        <v>1110</v>
      </c>
      <c r="O2227"/>
    </row>
    <row r="2228" spans="1:15" x14ac:dyDescent="0.2">
      <c r="A2228" s="567">
        <v>2255</v>
      </c>
      <c r="B2228" s="568" t="s">
        <v>2269</v>
      </c>
      <c r="C2228" s="568" t="s">
        <v>2268</v>
      </c>
      <c r="D2228" s="567">
        <v>6511</v>
      </c>
      <c r="E2228" s="567">
        <v>99</v>
      </c>
      <c r="F2228" s="567">
        <v>4</v>
      </c>
      <c r="G2228" s="567">
        <v>335</v>
      </c>
      <c r="H2228" s="567">
        <v>3151</v>
      </c>
      <c r="O2228"/>
    </row>
    <row r="2229" spans="1:15" x14ac:dyDescent="0.2">
      <c r="A2229" s="567">
        <v>2254</v>
      </c>
      <c r="B2229" s="568" t="s">
        <v>2269</v>
      </c>
      <c r="C2229" s="568" t="s">
        <v>2282</v>
      </c>
      <c r="D2229" s="567">
        <v>6510</v>
      </c>
      <c r="E2229" s="567">
        <v>99</v>
      </c>
      <c r="F2229" s="567">
        <v>4</v>
      </c>
      <c r="G2229" s="567">
        <v>335</v>
      </c>
      <c r="H2229" s="567">
        <v>3151</v>
      </c>
      <c r="O2229"/>
    </row>
    <row r="2230" spans="1:15" x14ac:dyDescent="0.2">
      <c r="A2230" s="567">
        <v>1736</v>
      </c>
      <c r="B2230" s="568" t="s">
        <v>2210</v>
      </c>
      <c r="C2230" s="568" t="s">
        <v>2210</v>
      </c>
      <c r="D2230" s="567">
        <v>4740</v>
      </c>
      <c r="E2230" s="567">
        <v>100</v>
      </c>
      <c r="F2230" s="567">
        <v>3</v>
      </c>
      <c r="G2230" s="567">
        <v>317</v>
      </c>
      <c r="H2230" s="567">
        <v>3140</v>
      </c>
      <c r="O2230"/>
    </row>
    <row r="2231" spans="1:15" x14ac:dyDescent="0.2">
      <c r="A2231" s="567">
        <v>1522</v>
      </c>
      <c r="B2231" s="568" t="s">
        <v>1686</v>
      </c>
      <c r="C2231" s="568" t="s">
        <v>1686</v>
      </c>
      <c r="D2231" s="567">
        <v>4185</v>
      </c>
      <c r="E2231" s="567">
        <v>57</v>
      </c>
      <c r="F2231" s="567">
        <v>17</v>
      </c>
      <c r="G2231" s="567">
        <v>235</v>
      </c>
      <c r="H2231" s="567">
        <v>2160</v>
      </c>
      <c r="O2231"/>
    </row>
    <row r="2232" spans="1:15" x14ac:dyDescent="0.2">
      <c r="A2232" s="567">
        <v>1060</v>
      </c>
      <c r="B2232" s="568" t="s">
        <v>1548</v>
      </c>
      <c r="C2232" s="568" t="s">
        <v>1547</v>
      </c>
      <c r="D2232" s="567">
        <v>2733</v>
      </c>
      <c r="E2232" s="567">
        <v>75</v>
      </c>
      <c r="F2232" s="567">
        <v>21</v>
      </c>
      <c r="G2232" s="567">
        <v>225</v>
      </c>
      <c r="H2232" s="567">
        <v>2140</v>
      </c>
      <c r="O2232"/>
    </row>
    <row r="2233" spans="1:15" x14ac:dyDescent="0.2">
      <c r="A2233" s="567">
        <v>1059</v>
      </c>
      <c r="B2233" s="568" t="s">
        <v>1548</v>
      </c>
      <c r="C2233" s="568" t="s">
        <v>1386</v>
      </c>
      <c r="D2233" s="567">
        <v>2732</v>
      </c>
      <c r="E2233" s="567">
        <v>75</v>
      </c>
      <c r="F2233" s="567">
        <v>21</v>
      </c>
      <c r="G2233" s="567">
        <v>225</v>
      </c>
      <c r="H2233" s="567">
        <v>2140</v>
      </c>
      <c r="O2233"/>
    </row>
    <row r="2234" spans="1:15" x14ac:dyDescent="0.2">
      <c r="A2234" s="567">
        <v>1058</v>
      </c>
      <c r="B2234" s="568" t="s">
        <v>1548</v>
      </c>
      <c r="C2234" s="568" t="s">
        <v>1549</v>
      </c>
      <c r="D2234" s="567">
        <v>2731</v>
      </c>
      <c r="E2234" s="567">
        <v>75</v>
      </c>
      <c r="F2234" s="567">
        <v>21</v>
      </c>
      <c r="G2234" s="567">
        <v>225</v>
      </c>
      <c r="H2234" s="567">
        <v>2140</v>
      </c>
      <c r="O2234"/>
    </row>
    <row r="2235" spans="1:15" x14ac:dyDescent="0.2">
      <c r="A2235" s="567">
        <v>1057</v>
      </c>
      <c r="B2235" s="568" t="s">
        <v>1548</v>
      </c>
      <c r="C2235" s="568" t="s">
        <v>1548</v>
      </c>
      <c r="D2235" s="567">
        <v>2730</v>
      </c>
      <c r="E2235" s="567">
        <v>75</v>
      </c>
      <c r="F2235" s="567">
        <v>21</v>
      </c>
      <c r="G2235" s="567">
        <v>225</v>
      </c>
      <c r="H2235" s="567">
        <v>2140</v>
      </c>
      <c r="O2235"/>
    </row>
    <row r="2236" spans="1:15" x14ac:dyDescent="0.2">
      <c r="A2236" s="567">
        <v>747</v>
      </c>
      <c r="B2236" s="568" t="s">
        <v>854</v>
      </c>
      <c r="C2236" s="568" t="s">
        <v>853</v>
      </c>
      <c r="D2236" s="567">
        <v>1747</v>
      </c>
      <c r="E2236" s="567">
        <v>80</v>
      </c>
      <c r="F2236" s="567">
        <v>2</v>
      </c>
      <c r="G2236" s="567">
        <v>116</v>
      </c>
      <c r="H2236" s="567">
        <v>1180</v>
      </c>
      <c r="O2236"/>
    </row>
    <row r="2237" spans="1:15" x14ac:dyDescent="0.2">
      <c r="A2237" s="567">
        <v>746</v>
      </c>
      <c r="B2237" s="568" t="s">
        <v>854</v>
      </c>
      <c r="C2237" s="568" t="s">
        <v>855</v>
      </c>
      <c r="D2237" s="567">
        <v>1746</v>
      </c>
      <c r="E2237" s="567">
        <v>80</v>
      </c>
      <c r="F2237" s="567">
        <v>2</v>
      </c>
      <c r="G2237" s="567">
        <v>116</v>
      </c>
      <c r="H2237" s="567">
        <v>1180</v>
      </c>
      <c r="O2237"/>
    </row>
    <row r="2238" spans="1:15" x14ac:dyDescent="0.2">
      <c r="A2238" s="567">
        <v>745</v>
      </c>
      <c r="B2238" s="568" t="s">
        <v>854</v>
      </c>
      <c r="C2238" s="568" t="s">
        <v>856</v>
      </c>
      <c r="D2238" s="567">
        <v>1745</v>
      </c>
      <c r="E2238" s="567">
        <v>80</v>
      </c>
      <c r="F2238" s="567">
        <v>2</v>
      </c>
      <c r="G2238" s="567">
        <v>116</v>
      </c>
      <c r="H2238" s="567">
        <v>1180</v>
      </c>
      <c r="O2238"/>
    </row>
    <row r="2239" spans="1:15" x14ac:dyDescent="0.2">
      <c r="A2239" s="567">
        <v>748</v>
      </c>
      <c r="B2239" s="568" t="s">
        <v>854</v>
      </c>
      <c r="C2239" s="568" t="s">
        <v>860</v>
      </c>
      <c r="D2239" s="567">
        <v>1748</v>
      </c>
      <c r="E2239" s="567">
        <v>80</v>
      </c>
      <c r="F2239" s="567">
        <v>2</v>
      </c>
      <c r="G2239" s="567">
        <v>116</v>
      </c>
      <c r="H2239" s="567">
        <v>1180</v>
      </c>
      <c r="O2239"/>
    </row>
    <row r="2240" spans="1:15" x14ac:dyDescent="0.2">
      <c r="A2240" s="567">
        <v>3200</v>
      </c>
      <c r="B2240" s="568" t="s">
        <v>3031</v>
      </c>
      <c r="C2240" s="568" t="s">
        <v>3030</v>
      </c>
      <c r="D2240" s="567">
        <v>9210</v>
      </c>
      <c r="E2240" s="567">
        <v>86</v>
      </c>
      <c r="F2240" s="567">
        <v>11</v>
      </c>
      <c r="G2240" s="567">
        <v>437</v>
      </c>
      <c r="H2240" s="567">
        <v>4151</v>
      </c>
      <c r="O2240"/>
    </row>
    <row r="2241" spans="1:15" x14ac:dyDescent="0.2">
      <c r="A2241" s="567">
        <v>3198</v>
      </c>
      <c r="B2241" s="568" t="s">
        <v>3031</v>
      </c>
      <c r="C2241" s="568" t="s">
        <v>3048</v>
      </c>
      <c r="D2241" s="567">
        <v>9208</v>
      </c>
      <c r="E2241" s="567">
        <v>86</v>
      </c>
      <c r="F2241" s="567">
        <v>11</v>
      </c>
      <c r="G2241" s="567">
        <v>437</v>
      </c>
      <c r="H2241" s="567">
        <v>4151</v>
      </c>
      <c r="O2241"/>
    </row>
    <row r="2242" spans="1:15" x14ac:dyDescent="0.2">
      <c r="A2242" s="567">
        <v>3201</v>
      </c>
      <c r="B2242" s="568" t="s">
        <v>3031</v>
      </c>
      <c r="C2242" s="568" t="s">
        <v>454</v>
      </c>
      <c r="D2242" s="567">
        <v>9211</v>
      </c>
      <c r="E2242" s="567">
        <v>86</v>
      </c>
      <c r="F2242" s="567">
        <v>11</v>
      </c>
      <c r="G2242" s="567">
        <v>437</v>
      </c>
      <c r="H2242" s="567">
        <v>4151</v>
      </c>
      <c r="O2242"/>
    </row>
    <row r="2243" spans="1:15" x14ac:dyDescent="0.2">
      <c r="A2243" s="567">
        <v>3190</v>
      </c>
      <c r="B2243" s="568" t="s">
        <v>3031</v>
      </c>
      <c r="C2243" s="568" t="s">
        <v>3031</v>
      </c>
      <c r="D2243" s="567">
        <v>9200</v>
      </c>
      <c r="E2243" s="567">
        <v>86</v>
      </c>
      <c r="F2243" s="567">
        <v>11</v>
      </c>
      <c r="G2243" s="567">
        <v>437</v>
      </c>
      <c r="H2243" s="567">
        <v>4151</v>
      </c>
      <c r="O2243"/>
    </row>
    <row r="2244" spans="1:15" x14ac:dyDescent="0.2">
      <c r="A2244" s="567">
        <v>3191</v>
      </c>
      <c r="B2244" s="568" t="s">
        <v>3031</v>
      </c>
      <c r="C2244" s="568" t="s">
        <v>3078</v>
      </c>
      <c r="D2244" s="567">
        <v>9201</v>
      </c>
      <c r="E2244" s="567">
        <v>86</v>
      </c>
      <c r="F2244" s="567">
        <v>11</v>
      </c>
      <c r="G2244" s="567">
        <v>437</v>
      </c>
      <c r="H2244" s="567">
        <v>4151</v>
      </c>
      <c r="O2244"/>
    </row>
    <row r="2245" spans="1:15" x14ac:dyDescent="0.2">
      <c r="A2245" s="567">
        <v>3192</v>
      </c>
      <c r="B2245" s="568" t="s">
        <v>3031</v>
      </c>
      <c r="C2245" s="568" t="s">
        <v>3079</v>
      </c>
      <c r="D2245" s="567">
        <v>9202</v>
      </c>
      <c r="E2245" s="567">
        <v>86</v>
      </c>
      <c r="F2245" s="567">
        <v>11</v>
      </c>
      <c r="G2245" s="567">
        <v>437</v>
      </c>
      <c r="H2245" s="567">
        <v>4151</v>
      </c>
      <c r="O2245"/>
    </row>
    <row r="2246" spans="1:15" x14ac:dyDescent="0.2">
      <c r="A2246" s="567">
        <v>3193</v>
      </c>
      <c r="B2246" s="568" t="s">
        <v>3031</v>
      </c>
      <c r="C2246" s="568" t="s">
        <v>3080</v>
      </c>
      <c r="D2246" s="567">
        <v>9203</v>
      </c>
      <c r="E2246" s="567">
        <v>86</v>
      </c>
      <c r="F2246" s="567">
        <v>11</v>
      </c>
      <c r="G2246" s="567">
        <v>437</v>
      </c>
      <c r="H2246" s="567">
        <v>4151</v>
      </c>
      <c r="O2246"/>
    </row>
    <row r="2247" spans="1:15" x14ac:dyDescent="0.2">
      <c r="A2247" s="567">
        <v>3194</v>
      </c>
      <c r="B2247" s="568" t="s">
        <v>3031</v>
      </c>
      <c r="C2247" s="568" t="s">
        <v>3081</v>
      </c>
      <c r="D2247" s="567">
        <v>9204</v>
      </c>
      <c r="E2247" s="567">
        <v>86</v>
      </c>
      <c r="F2247" s="567">
        <v>11</v>
      </c>
      <c r="G2247" s="567">
        <v>437</v>
      </c>
      <c r="H2247" s="567">
        <v>4151</v>
      </c>
      <c r="O2247"/>
    </row>
    <row r="2248" spans="1:15" x14ac:dyDescent="0.2">
      <c r="A2248" s="567">
        <v>3195</v>
      </c>
      <c r="B2248" s="568" t="s">
        <v>3031</v>
      </c>
      <c r="C2248" s="568" t="s">
        <v>3082</v>
      </c>
      <c r="D2248" s="567">
        <v>9205</v>
      </c>
      <c r="E2248" s="567">
        <v>86</v>
      </c>
      <c r="F2248" s="567">
        <v>11</v>
      </c>
      <c r="G2248" s="567">
        <v>437</v>
      </c>
      <c r="H2248" s="567">
        <v>4151</v>
      </c>
      <c r="O2248"/>
    </row>
    <row r="2249" spans="1:15" x14ac:dyDescent="0.2">
      <c r="A2249" s="567">
        <v>3196</v>
      </c>
      <c r="B2249" s="568" t="s">
        <v>3031</v>
      </c>
      <c r="C2249" s="568" t="s">
        <v>3083</v>
      </c>
      <c r="D2249" s="567">
        <v>9206</v>
      </c>
      <c r="E2249" s="567">
        <v>86</v>
      </c>
      <c r="F2249" s="567">
        <v>11</v>
      </c>
      <c r="G2249" s="567">
        <v>437</v>
      </c>
      <c r="H2249" s="567">
        <v>4151</v>
      </c>
      <c r="O2249"/>
    </row>
    <row r="2250" spans="1:15" x14ac:dyDescent="0.2">
      <c r="A2250" s="567">
        <v>3197</v>
      </c>
      <c r="B2250" s="568" t="s">
        <v>3031</v>
      </c>
      <c r="C2250" s="568" t="s">
        <v>3084</v>
      </c>
      <c r="D2250" s="567">
        <v>9207</v>
      </c>
      <c r="E2250" s="567">
        <v>86</v>
      </c>
      <c r="F2250" s="567">
        <v>11</v>
      </c>
      <c r="G2250" s="567">
        <v>437</v>
      </c>
      <c r="H2250" s="567">
        <v>4151</v>
      </c>
      <c r="O2250"/>
    </row>
    <row r="2251" spans="1:15" x14ac:dyDescent="0.2">
      <c r="A2251" s="567">
        <v>3199</v>
      </c>
      <c r="B2251" s="568" t="s">
        <v>3031</v>
      </c>
      <c r="C2251" s="568" t="s">
        <v>1252</v>
      </c>
      <c r="D2251" s="567">
        <v>9209</v>
      </c>
      <c r="E2251" s="567">
        <v>86</v>
      </c>
      <c r="F2251" s="567">
        <v>11</v>
      </c>
      <c r="G2251" s="567">
        <v>437</v>
      </c>
      <c r="H2251" s="567">
        <v>4151</v>
      </c>
      <c r="O2251"/>
    </row>
    <row r="2252" spans="1:15" x14ac:dyDescent="0.2">
      <c r="A2252" s="567">
        <v>1250</v>
      </c>
      <c r="B2252" s="568" t="s">
        <v>1278</v>
      </c>
      <c r="C2252" s="568" t="s">
        <v>1277</v>
      </c>
      <c r="D2252" s="567">
        <v>3382</v>
      </c>
      <c r="E2252" s="567">
        <v>64</v>
      </c>
      <c r="F2252" s="567">
        <v>2</v>
      </c>
      <c r="G2252" s="567">
        <v>215</v>
      </c>
      <c r="H2252" s="567">
        <v>2121</v>
      </c>
      <c r="O2252"/>
    </row>
    <row r="2253" spans="1:15" x14ac:dyDescent="0.2">
      <c r="A2253" s="567">
        <v>1248</v>
      </c>
      <c r="B2253" s="568" t="s">
        <v>1278</v>
      </c>
      <c r="C2253" s="568" t="s">
        <v>1278</v>
      </c>
      <c r="D2253" s="567">
        <v>3380</v>
      </c>
      <c r="E2253" s="567">
        <v>64</v>
      </c>
      <c r="F2253" s="567">
        <v>2</v>
      </c>
      <c r="G2253" s="567">
        <v>215</v>
      </c>
      <c r="H2253" s="567">
        <v>2121</v>
      </c>
      <c r="O2253"/>
    </row>
    <row r="2254" spans="1:15" x14ac:dyDescent="0.2">
      <c r="A2254" s="567">
        <v>1249</v>
      </c>
      <c r="B2254" s="568" t="s">
        <v>1278</v>
      </c>
      <c r="C2254" s="568" t="s">
        <v>640</v>
      </c>
      <c r="D2254" s="567">
        <v>3381</v>
      </c>
      <c r="E2254" s="567">
        <v>64</v>
      </c>
      <c r="F2254" s="567">
        <v>2</v>
      </c>
      <c r="G2254" s="567">
        <v>215</v>
      </c>
      <c r="H2254" s="567">
        <v>2121</v>
      </c>
      <c r="O2254"/>
    </row>
    <row r="2255" spans="1:15" x14ac:dyDescent="0.2">
      <c r="A2255" s="567">
        <v>1251</v>
      </c>
      <c r="B2255" s="568" t="s">
        <v>1278</v>
      </c>
      <c r="C2255" s="568" t="s">
        <v>582</v>
      </c>
      <c r="D2255" s="567">
        <v>3383</v>
      </c>
      <c r="E2255" s="567">
        <v>64</v>
      </c>
      <c r="F2255" s="567">
        <v>2</v>
      </c>
      <c r="G2255" s="567">
        <v>215</v>
      </c>
      <c r="H2255" s="567">
        <v>2121</v>
      </c>
      <c r="O2255"/>
    </row>
    <row r="2256" spans="1:15" x14ac:dyDescent="0.2">
      <c r="A2256" s="567">
        <v>1345</v>
      </c>
      <c r="B2256" s="568" t="s">
        <v>1133</v>
      </c>
      <c r="C2256" s="568" t="s">
        <v>1133</v>
      </c>
      <c r="D2256" s="567">
        <v>3670</v>
      </c>
      <c r="E2256" s="567">
        <v>39</v>
      </c>
      <c r="F2256" s="567">
        <v>3</v>
      </c>
      <c r="G2256" s="567">
        <v>216</v>
      </c>
      <c r="H2256" s="567">
        <v>2100</v>
      </c>
      <c r="O2256"/>
    </row>
    <row r="2257" spans="1:15" x14ac:dyDescent="0.2">
      <c r="A2257" s="567">
        <v>1423</v>
      </c>
      <c r="B2257" s="568" t="s">
        <v>1626</v>
      </c>
      <c r="C2257" s="568" t="s">
        <v>1626</v>
      </c>
      <c r="D2257" s="567">
        <v>3885</v>
      </c>
      <c r="E2257" s="567">
        <v>50</v>
      </c>
      <c r="F2257" s="567">
        <v>2</v>
      </c>
      <c r="G2257" s="567">
        <v>236</v>
      </c>
      <c r="H2257" s="567">
        <v>2150</v>
      </c>
      <c r="O2257"/>
    </row>
    <row r="2258" spans="1:15" x14ac:dyDescent="0.2">
      <c r="A2258" s="567">
        <v>831</v>
      </c>
      <c r="B2258" s="568" t="s">
        <v>461</v>
      </c>
      <c r="C2258" s="568" t="s">
        <v>461</v>
      </c>
      <c r="D2258" s="567">
        <v>2065</v>
      </c>
      <c r="E2258" s="567">
        <v>37</v>
      </c>
      <c r="F2258" s="567">
        <v>14</v>
      </c>
      <c r="G2258" s="567">
        <v>117</v>
      </c>
      <c r="H2258" s="567">
        <v>1130</v>
      </c>
      <c r="O2258"/>
    </row>
    <row r="2259" spans="1:15" x14ac:dyDescent="0.2">
      <c r="A2259" s="567">
        <v>1681</v>
      </c>
      <c r="B2259" s="568" t="s">
        <v>2196</v>
      </c>
      <c r="C2259" s="568" t="s">
        <v>2195</v>
      </c>
      <c r="D2259" s="567">
        <v>4610</v>
      </c>
      <c r="E2259" s="567">
        <v>102</v>
      </c>
      <c r="F2259" s="567">
        <v>5</v>
      </c>
      <c r="G2259" s="567">
        <v>317</v>
      </c>
      <c r="H2259" s="567">
        <v>3140</v>
      </c>
      <c r="O2259"/>
    </row>
    <row r="2260" spans="1:15" x14ac:dyDescent="0.2">
      <c r="A2260" s="567">
        <v>1682</v>
      </c>
      <c r="B2260" s="568" t="s">
        <v>2196</v>
      </c>
      <c r="C2260" s="568" t="s">
        <v>2197</v>
      </c>
      <c r="D2260" s="567">
        <v>4611</v>
      </c>
      <c r="E2260" s="567">
        <v>102</v>
      </c>
      <c r="F2260" s="567">
        <v>5</v>
      </c>
      <c r="G2260" s="567">
        <v>317</v>
      </c>
      <c r="H2260" s="567">
        <v>3140</v>
      </c>
      <c r="O2260"/>
    </row>
    <row r="2261" spans="1:15" x14ac:dyDescent="0.2">
      <c r="A2261" s="567">
        <v>1397</v>
      </c>
      <c r="B2261" s="568" t="s">
        <v>1165</v>
      </c>
      <c r="C2261" s="568" t="s">
        <v>1164</v>
      </c>
      <c r="D2261" s="567">
        <v>3801</v>
      </c>
      <c r="E2261" s="567">
        <v>41</v>
      </c>
      <c r="F2261" s="567">
        <v>3</v>
      </c>
      <c r="G2261" s="567">
        <v>216</v>
      </c>
      <c r="H2261" s="567">
        <v>2100</v>
      </c>
      <c r="O2261"/>
    </row>
    <row r="2262" spans="1:15" x14ac:dyDescent="0.2">
      <c r="A2262" s="567">
        <v>1396</v>
      </c>
      <c r="B2262" s="568" t="s">
        <v>1165</v>
      </c>
      <c r="C2262" s="568" t="s">
        <v>1165</v>
      </c>
      <c r="D2262" s="567">
        <v>3800</v>
      </c>
      <c r="E2262" s="567">
        <v>41</v>
      </c>
      <c r="F2262" s="567">
        <v>3</v>
      </c>
      <c r="G2262" s="567">
        <v>216</v>
      </c>
      <c r="H2262" s="567">
        <v>2100</v>
      </c>
      <c r="O2262"/>
    </row>
    <row r="2263" spans="1:15" x14ac:dyDescent="0.2">
      <c r="A2263" s="567">
        <v>803</v>
      </c>
      <c r="B2263" s="568" t="s">
        <v>869</v>
      </c>
      <c r="C2263" s="568" t="s">
        <v>869</v>
      </c>
      <c r="D2263" s="567">
        <v>1965</v>
      </c>
      <c r="E2263" s="567">
        <v>54</v>
      </c>
      <c r="F2263" s="567">
        <v>18</v>
      </c>
      <c r="G2263" s="567">
        <v>116</v>
      </c>
      <c r="H2263" s="567">
        <v>1180</v>
      </c>
      <c r="O2263"/>
    </row>
    <row r="2264" spans="1:15" x14ac:dyDescent="0.2">
      <c r="A2264" s="567">
        <v>3324</v>
      </c>
      <c r="B2264" s="568" t="s">
        <v>2649</v>
      </c>
      <c r="C2264" s="568" t="s">
        <v>3128</v>
      </c>
      <c r="D2264" s="567">
        <v>9703</v>
      </c>
      <c r="E2264" s="567">
        <v>47</v>
      </c>
      <c r="F2264" s="567">
        <v>4</v>
      </c>
      <c r="G2264" s="567">
        <v>435</v>
      </c>
      <c r="H2264" s="567">
        <v>4160</v>
      </c>
      <c r="O2264"/>
    </row>
    <row r="2265" spans="1:15" x14ac:dyDescent="0.2">
      <c r="A2265" s="567">
        <v>3321</v>
      </c>
      <c r="B2265" s="568" t="s">
        <v>2649</v>
      </c>
      <c r="C2265" s="568" t="s">
        <v>2649</v>
      </c>
      <c r="D2265" s="567">
        <v>9700</v>
      </c>
      <c r="E2265" s="567">
        <v>47</v>
      </c>
      <c r="F2265" s="567">
        <v>4</v>
      </c>
      <c r="G2265" s="567">
        <v>435</v>
      </c>
      <c r="H2265" s="567">
        <v>4160</v>
      </c>
      <c r="O2265"/>
    </row>
    <row r="2266" spans="1:15" x14ac:dyDescent="0.2">
      <c r="A2266" s="567">
        <v>3322</v>
      </c>
      <c r="B2266" s="568" t="s">
        <v>2649</v>
      </c>
      <c r="C2266" s="568" t="s">
        <v>2732</v>
      </c>
      <c r="D2266" s="567">
        <v>9701</v>
      </c>
      <c r="E2266" s="567">
        <v>47</v>
      </c>
      <c r="F2266" s="567">
        <v>4</v>
      </c>
      <c r="G2266" s="567">
        <v>435</v>
      </c>
      <c r="H2266" s="567">
        <v>4160</v>
      </c>
      <c r="O2266"/>
    </row>
    <row r="2267" spans="1:15" x14ac:dyDescent="0.2">
      <c r="A2267" s="567">
        <v>3323</v>
      </c>
      <c r="B2267" s="568" t="s">
        <v>2649</v>
      </c>
      <c r="C2267" s="568" t="s">
        <v>3142</v>
      </c>
      <c r="D2267" s="567">
        <v>9702</v>
      </c>
      <c r="E2267" s="567">
        <v>47</v>
      </c>
      <c r="F2267" s="567">
        <v>4</v>
      </c>
      <c r="G2267" s="567">
        <v>435</v>
      </c>
      <c r="H2267" s="567">
        <v>4160</v>
      </c>
      <c r="O2267"/>
    </row>
    <row r="2268" spans="1:15" x14ac:dyDescent="0.2">
      <c r="A2268" s="567">
        <v>467</v>
      </c>
      <c r="B2268" s="568" t="s">
        <v>519</v>
      </c>
      <c r="C2268" s="568" t="s">
        <v>126</v>
      </c>
      <c r="D2268" s="567">
        <v>896</v>
      </c>
      <c r="E2268" s="567">
        <v>81</v>
      </c>
      <c r="F2268" s="567">
        <v>2</v>
      </c>
      <c r="G2268" s="567">
        <v>125</v>
      </c>
      <c r="H2268" s="567">
        <v>1150</v>
      </c>
      <c r="O2268"/>
    </row>
    <row r="2269" spans="1:15" x14ac:dyDescent="0.2">
      <c r="A2269" s="567">
        <v>466</v>
      </c>
      <c r="B2269" s="568" t="s">
        <v>519</v>
      </c>
      <c r="C2269" s="568" t="s">
        <v>519</v>
      </c>
      <c r="D2269" s="567">
        <v>895</v>
      </c>
      <c r="E2269" s="567">
        <v>81</v>
      </c>
      <c r="F2269" s="567">
        <v>2</v>
      </c>
      <c r="G2269" s="567">
        <v>125</v>
      </c>
      <c r="H2269" s="567">
        <v>1150</v>
      </c>
      <c r="O2269"/>
    </row>
    <row r="2270" spans="1:15" x14ac:dyDescent="0.2">
      <c r="A2270" s="567">
        <v>1912</v>
      </c>
      <c r="B2270" s="568" t="s">
        <v>1746</v>
      </c>
      <c r="C2270" s="568" t="s">
        <v>1746</v>
      </c>
      <c r="D2270" s="567">
        <v>5385</v>
      </c>
      <c r="E2270" s="567">
        <v>89</v>
      </c>
      <c r="F2270" s="567">
        <v>3</v>
      </c>
      <c r="G2270" s="567">
        <v>315</v>
      </c>
      <c r="H2270" s="567">
        <v>3120</v>
      </c>
      <c r="O2270"/>
    </row>
    <row r="2271" spans="1:15" x14ac:dyDescent="0.2">
      <c r="A2271" s="567">
        <v>1600</v>
      </c>
      <c r="B2271" s="568" t="s">
        <v>1241</v>
      </c>
      <c r="C2271" s="568" t="s">
        <v>1240</v>
      </c>
      <c r="D2271" s="567">
        <v>4403</v>
      </c>
      <c r="E2271" s="567">
        <v>54</v>
      </c>
      <c r="F2271" s="567">
        <v>7</v>
      </c>
      <c r="G2271" s="567">
        <v>237</v>
      </c>
      <c r="H2271" s="567">
        <v>2110</v>
      </c>
      <c r="O2271"/>
    </row>
    <row r="2272" spans="1:15" x14ac:dyDescent="0.2">
      <c r="A2272" s="567">
        <v>1597</v>
      </c>
      <c r="B2272" s="568" t="s">
        <v>1241</v>
      </c>
      <c r="C2272" s="568" t="s">
        <v>1241</v>
      </c>
      <c r="D2272" s="567">
        <v>4400</v>
      </c>
      <c r="E2272" s="567">
        <v>54</v>
      </c>
      <c r="F2272" s="567">
        <v>7</v>
      </c>
      <c r="G2272" s="567">
        <v>237</v>
      </c>
      <c r="H2272" s="567">
        <v>2110</v>
      </c>
      <c r="O2272"/>
    </row>
    <row r="2273" spans="1:15" x14ac:dyDescent="0.2">
      <c r="A2273" s="567">
        <v>1598</v>
      </c>
      <c r="B2273" s="568" t="s">
        <v>1241</v>
      </c>
      <c r="C2273" s="568" t="s">
        <v>1242</v>
      </c>
      <c r="D2273" s="567">
        <v>4401</v>
      </c>
      <c r="E2273" s="567">
        <v>54</v>
      </c>
      <c r="F2273" s="567">
        <v>7</v>
      </c>
      <c r="G2273" s="567">
        <v>237</v>
      </c>
      <c r="H2273" s="567">
        <v>2110</v>
      </c>
      <c r="O2273"/>
    </row>
    <row r="2274" spans="1:15" x14ac:dyDescent="0.2">
      <c r="A2274" s="567">
        <v>1602</v>
      </c>
      <c r="B2274" s="568" t="s">
        <v>1241</v>
      </c>
      <c r="C2274" s="568" t="s">
        <v>1244</v>
      </c>
      <c r="D2274" s="567">
        <v>4405</v>
      </c>
      <c r="E2274" s="567">
        <v>54</v>
      </c>
      <c r="F2274" s="567">
        <v>7</v>
      </c>
      <c r="G2274" s="567">
        <v>237</v>
      </c>
      <c r="H2274" s="567">
        <v>2110</v>
      </c>
      <c r="O2274"/>
    </row>
    <row r="2275" spans="1:15" x14ac:dyDescent="0.2">
      <c r="A2275" s="567">
        <v>1599</v>
      </c>
      <c r="B2275" s="568" t="s">
        <v>1241</v>
      </c>
      <c r="C2275" s="568" t="s">
        <v>1245</v>
      </c>
      <c r="D2275" s="567">
        <v>4402</v>
      </c>
      <c r="E2275" s="567">
        <v>54</v>
      </c>
      <c r="F2275" s="567">
        <v>7</v>
      </c>
      <c r="G2275" s="567">
        <v>237</v>
      </c>
      <c r="H2275" s="567">
        <v>2110</v>
      </c>
      <c r="O2275"/>
    </row>
    <row r="2276" spans="1:15" x14ac:dyDescent="0.2">
      <c r="A2276" s="567">
        <v>1601</v>
      </c>
      <c r="B2276" s="568" t="s">
        <v>1241</v>
      </c>
      <c r="C2276" s="568" t="s">
        <v>1246</v>
      </c>
      <c r="D2276" s="567">
        <v>4404</v>
      </c>
      <c r="E2276" s="567">
        <v>54</v>
      </c>
      <c r="F2276" s="567">
        <v>7</v>
      </c>
      <c r="G2276" s="567">
        <v>237</v>
      </c>
      <c r="H2276" s="567">
        <v>2110</v>
      </c>
      <c r="O2276"/>
    </row>
    <row r="2277" spans="1:15" x14ac:dyDescent="0.2">
      <c r="A2277" s="567">
        <v>228</v>
      </c>
      <c r="B2277" s="568" t="s">
        <v>980</v>
      </c>
      <c r="C2277" s="568" t="s">
        <v>979</v>
      </c>
      <c r="D2277" s="567">
        <v>364</v>
      </c>
      <c r="E2277" s="567">
        <v>69</v>
      </c>
      <c r="F2277" s="567">
        <v>2</v>
      </c>
      <c r="G2277" s="567">
        <v>126</v>
      </c>
      <c r="H2277" s="567">
        <v>1190</v>
      </c>
      <c r="O2277"/>
    </row>
    <row r="2278" spans="1:15" x14ac:dyDescent="0.2">
      <c r="A2278" s="567">
        <v>227</v>
      </c>
      <c r="B2278" s="568" t="s">
        <v>980</v>
      </c>
      <c r="C2278" s="568" t="s">
        <v>981</v>
      </c>
      <c r="D2278" s="567">
        <v>363</v>
      </c>
      <c r="E2278" s="567">
        <v>69</v>
      </c>
      <c r="F2278" s="567">
        <v>2</v>
      </c>
      <c r="G2278" s="567">
        <v>126</v>
      </c>
      <c r="H2278" s="567">
        <v>1190</v>
      </c>
      <c r="O2278"/>
    </row>
    <row r="2279" spans="1:15" x14ac:dyDescent="0.2">
      <c r="A2279" s="567">
        <v>226</v>
      </c>
      <c r="B2279" s="568" t="s">
        <v>980</v>
      </c>
      <c r="C2279" s="568" t="s">
        <v>982</v>
      </c>
      <c r="D2279" s="567">
        <v>362</v>
      </c>
      <c r="E2279" s="567">
        <v>69</v>
      </c>
      <c r="F2279" s="567">
        <v>2</v>
      </c>
      <c r="G2279" s="567">
        <v>126</v>
      </c>
      <c r="H2279" s="567">
        <v>1190</v>
      </c>
      <c r="O2279"/>
    </row>
    <row r="2280" spans="1:15" x14ac:dyDescent="0.2">
      <c r="A2280" s="567">
        <v>225</v>
      </c>
      <c r="B2280" s="568" t="s">
        <v>980</v>
      </c>
      <c r="C2280" s="568" t="s">
        <v>983</v>
      </c>
      <c r="D2280" s="567">
        <v>361</v>
      </c>
      <c r="E2280" s="567">
        <v>69</v>
      </c>
      <c r="F2280" s="567">
        <v>2</v>
      </c>
      <c r="G2280" s="567">
        <v>126</v>
      </c>
      <c r="H2280" s="567">
        <v>1190</v>
      </c>
      <c r="O2280"/>
    </row>
    <row r="2281" spans="1:15" x14ac:dyDescent="0.2">
      <c r="A2281" s="567">
        <v>224</v>
      </c>
      <c r="B2281" s="568" t="s">
        <v>980</v>
      </c>
      <c r="C2281" s="568" t="s">
        <v>980</v>
      </c>
      <c r="D2281" s="567">
        <v>360</v>
      </c>
      <c r="E2281" s="567">
        <v>69</v>
      </c>
      <c r="F2281" s="567">
        <v>2</v>
      </c>
      <c r="G2281" s="567">
        <v>126</v>
      </c>
      <c r="H2281" s="567">
        <v>1190</v>
      </c>
      <c r="O2281"/>
    </row>
    <row r="2282" spans="1:15" x14ac:dyDescent="0.2">
      <c r="A2282" s="567">
        <v>1308</v>
      </c>
      <c r="B2282" s="568" t="s">
        <v>1280</v>
      </c>
      <c r="C2282" s="568" t="s">
        <v>1128</v>
      </c>
      <c r="D2282" s="567">
        <v>3542</v>
      </c>
      <c r="E2282" s="567">
        <v>101</v>
      </c>
      <c r="F2282" s="567">
        <v>2</v>
      </c>
      <c r="G2282" s="567">
        <v>215</v>
      </c>
      <c r="H2282" s="567">
        <v>2121</v>
      </c>
      <c r="O2282"/>
    </row>
    <row r="2283" spans="1:15" x14ac:dyDescent="0.2">
      <c r="A2283" s="567">
        <v>1306</v>
      </c>
      <c r="B2283" s="568" t="s">
        <v>1280</v>
      </c>
      <c r="C2283" s="568" t="s">
        <v>1329</v>
      </c>
      <c r="D2283" s="567">
        <v>3540</v>
      </c>
      <c r="E2283" s="567">
        <v>101</v>
      </c>
      <c r="F2283" s="567">
        <v>2</v>
      </c>
      <c r="G2283" s="567">
        <v>215</v>
      </c>
      <c r="H2283" s="567">
        <v>2121</v>
      </c>
      <c r="O2283"/>
    </row>
    <row r="2284" spans="1:15" x14ac:dyDescent="0.2">
      <c r="A2284" s="567">
        <v>1309</v>
      </c>
      <c r="B2284" s="568" t="s">
        <v>1280</v>
      </c>
      <c r="C2284" s="568" t="s">
        <v>1347</v>
      </c>
      <c r="D2284" s="567">
        <v>3543</v>
      </c>
      <c r="E2284" s="567">
        <v>101</v>
      </c>
      <c r="F2284" s="567">
        <v>2</v>
      </c>
      <c r="G2284" s="567">
        <v>215</v>
      </c>
      <c r="H2284" s="567">
        <v>2121</v>
      </c>
      <c r="O2284"/>
    </row>
    <row r="2285" spans="1:15" x14ac:dyDescent="0.2">
      <c r="A2285" s="567">
        <v>1307</v>
      </c>
      <c r="B2285" s="568" t="s">
        <v>1280</v>
      </c>
      <c r="C2285" s="568" t="s">
        <v>1348</v>
      </c>
      <c r="D2285" s="567">
        <v>3541</v>
      </c>
      <c r="E2285" s="567">
        <v>101</v>
      </c>
      <c r="F2285" s="567">
        <v>2</v>
      </c>
      <c r="G2285" s="567">
        <v>215</v>
      </c>
      <c r="H2285" s="567">
        <v>2121</v>
      </c>
      <c r="O2285"/>
    </row>
    <row r="2286" spans="1:15" x14ac:dyDescent="0.2">
      <c r="A2286" s="567">
        <v>1483</v>
      </c>
      <c r="B2286" s="568" t="s">
        <v>1568</v>
      </c>
      <c r="C2286" s="568" t="s">
        <v>1567</v>
      </c>
      <c r="D2286" s="567">
        <v>4074</v>
      </c>
      <c r="E2286" s="567">
        <v>0</v>
      </c>
      <c r="F2286" s="567">
        <v>17</v>
      </c>
      <c r="G2286" s="567">
        <v>231</v>
      </c>
      <c r="H2286" s="567">
        <v>2150</v>
      </c>
      <c r="O2286"/>
    </row>
    <row r="2287" spans="1:15" x14ac:dyDescent="0.2">
      <c r="A2287" s="567">
        <v>1484</v>
      </c>
      <c r="B2287" s="568" t="s">
        <v>1568</v>
      </c>
      <c r="C2287" s="568" t="s">
        <v>1569</v>
      </c>
      <c r="D2287" s="567">
        <v>4075</v>
      </c>
      <c r="E2287" s="567">
        <v>0</v>
      </c>
      <c r="F2287" s="567">
        <v>17</v>
      </c>
      <c r="G2287" s="567">
        <v>231</v>
      </c>
      <c r="H2287" s="567">
        <v>2150</v>
      </c>
      <c r="O2287"/>
    </row>
    <row r="2288" spans="1:15" x14ac:dyDescent="0.2">
      <c r="A2288" s="567">
        <v>1481</v>
      </c>
      <c r="B2288" s="568" t="s">
        <v>1568</v>
      </c>
      <c r="C2288" s="568" t="s">
        <v>1235</v>
      </c>
      <c r="D2288" s="567">
        <v>4072</v>
      </c>
      <c r="E2288" s="567">
        <v>0</v>
      </c>
      <c r="F2288" s="567">
        <v>17</v>
      </c>
      <c r="G2288" s="567">
        <v>231</v>
      </c>
      <c r="H2288" s="567">
        <v>2150</v>
      </c>
      <c r="O2288"/>
    </row>
    <row r="2289" spans="1:15" x14ac:dyDescent="0.2">
      <c r="A2289" s="567">
        <v>1480</v>
      </c>
      <c r="B2289" s="568" t="s">
        <v>1568</v>
      </c>
      <c r="C2289" s="568" t="s">
        <v>1579</v>
      </c>
      <c r="D2289" s="567">
        <v>4071</v>
      </c>
      <c r="E2289" s="567">
        <v>0</v>
      </c>
      <c r="F2289" s="567">
        <v>17</v>
      </c>
      <c r="G2289" s="567">
        <v>231</v>
      </c>
      <c r="H2289" s="567">
        <v>2150</v>
      </c>
      <c r="O2289"/>
    </row>
    <row r="2290" spans="1:15" x14ac:dyDescent="0.2">
      <c r="A2290" s="567">
        <v>1482</v>
      </c>
      <c r="B2290" s="568" t="s">
        <v>1568</v>
      </c>
      <c r="C2290" s="568" t="s">
        <v>1605</v>
      </c>
      <c r="D2290" s="567">
        <v>4073</v>
      </c>
      <c r="E2290" s="567">
        <v>0</v>
      </c>
      <c r="F2290" s="567">
        <v>17</v>
      </c>
      <c r="G2290" s="567">
        <v>231</v>
      </c>
      <c r="H2290" s="567">
        <v>2150</v>
      </c>
      <c r="O2290"/>
    </row>
    <row r="2291" spans="1:15" x14ac:dyDescent="0.2">
      <c r="A2291" s="567">
        <v>1479</v>
      </c>
      <c r="B2291" s="568" t="s">
        <v>1568</v>
      </c>
      <c r="C2291" s="568" t="s">
        <v>1568</v>
      </c>
      <c r="D2291" s="567">
        <v>4070</v>
      </c>
      <c r="E2291" s="567">
        <v>0</v>
      </c>
      <c r="F2291" s="567">
        <v>17</v>
      </c>
      <c r="G2291" s="567">
        <v>231</v>
      </c>
      <c r="H2291" s="567">
        <v>2150</v>
      </c>
      <c r="O2291"/>
    </row>
    <row r="2292" spans="1:15" x14ac:dyDescent="0.2">
      <c r="A2292" s="567">
        <v>2721</v>
      </c>
      <c r="B2292" s="568" t="s">
        <v>2883</v>
      </c>
      <c r="C2292" s="568" t="s">
        <v>2882</v>
      </c>
      <c r="D2292" s="567">
        <v>7821</v>
      </c>
      <c r="E2292" s="567">
        <v>58</v>
      </c>
      <c r="F2292" s="567">
        <v>14</v>
      </c>
      <c r="G2292" s="567">
        <v>415</v>
      </c>
      <c r="H2292" s="567">
        <v>4131</v>
      </c>
      <c r="O2292"/>
    </row>
    <row r="2293" spans="1:15" x14ac:dyDescent="0.2">
      <c r="A2293" s="567">
        <v>2725</v>
      </c>
      <c r="B2293" s="568" t="s">
        <v>2883</v>
      </c>
      <c r="C2293" s="568" t="s">
        <v>2934</v>
      </c>
      <c r="D2293" s="567">
        <v>7825</v>
      </c>
      <c r="E2293" s="567">
        <v>58</v>
      </c>
      <c r="F2293" s="567">
        <v>14</v>
      </c>
      <c r="G2293" s="567">
        <v>415</v>
      </c>
      <c r="H2293" s="567">
        <v>4131</v>
      </c>
      <c r="O2293"/>
    </row>
    <row r="2294" spans="1:15" x14ac:dyDescent="0.2">
      <c r="A2294" s="567">
        <v>2724</v>
      </c>
      <c r="B2294" s="568" t="s">
        <v>2883</v>
      </c>
      <c r="C2294" s="568" t="s">
        <v>2935</v>
      </c>
      <c r="D2294" s="567">
        <v>7824</v>
      </c>
      <c r="E2294" s="567">
        <v>58</v>
      </c>
      <c r="F2294" s="567">
        <v>14</v>
      </c>
      <c r="G2294" s="567">
        <v>415</v>
      </c>
      <c r="H2294" s="567">
        <v>4131</v>
      </c>
      <c r="O2294"/>
    </row>
    <row r="2295" spans="1:15" x14ac:dyDescent="0.2">
      <c r="A2295" s="567">
        <v>2723</v>
      </c>
      <c r="B2295" s="568" t="s">
        <v>2883</v>
      </c>
      <c r="C2295" s="568" t="s">
        <v>741</v>
      </c>
      <c r="D2295" s="567">
        <v>7823</v>
      </c>
      <c r="E2295" s="567">
        <v>58</v>
      </c>
      <c r="F2295" s="567">
        <v>14</v>
      </c>
      <c r="G2295" s="567">
        <v>415</v>
      </c>
      <c r="H2295" s="567">
        <v>4131</v>
      </c>
      <c r="O2295"/>
    </row>
    <row r="2296" spans="1:15" x14ac:dyDescent="0.2">
      <c r="A2296" s="567">
        <v>2722</v>
      </c>
      <c r="B2296" s="568" t="s">
        <v>2883</v>
      </c>
      <c r="C2296" s="568" t="s">
        <v>2856</v>
      </c>
      <c r="D2296" s="567">
        <v>7822</v>
      </c>
      <c r="E2296" s="567">
        <v>58</v>
      </c>
      <c r="F2296" s="567">
        <v>14</v>
      </c>
      <c r="G2296" s="567">
        <v>415</v>
      </c>
      <c r="H2296" s="567">
        <v>4131</v>
      </c>
      <c r="O2296"/>
    </row>
    <row r="2297" spans="1:15" x14ac:dyDescent="0.2">
      <c r="A2297" s="567">
        <v>2720</v>
      </c>
      <c r="B2297" s="568" t="s">
        <v>2883</v>
      </c>
      <c r="C2297" s="568" t="s">
        <v>2883</v>
      </c>
      <c r="D2297" s="567">
        <v>7820</v>
      </c>
      <c r="E2297" s="567">
        <v>58</v>
      </c>
      <c r="F2297" s="567">
        <v>14</v>
      </c>
      <c r="G2297" s="567">
        <v>415</v>
      </c>
      <c r="H2297" s="567">
        <v>4131</v>
      </c>
      <c r="O2297"/>
    </row>
    <row r="2298" spans="1:15" x14ac:dyDescent="0.2">
      <c r="A2298" s="567">
        <v>3204</v>
      </c>
      <c r="B2298" s="568" t="s">
        <v>3049</v>
      </c>
      <c r="C2298" s="568" t="s">
        <v>2438</v>
      </c>
      <c r="D2298" s="567">
        <v>9222</v>
      </c>
      <c r="E2298" s="567">
        <v>88</v>
      </c>
      <c r="F2298" s="567">
        <v>11</v>
      </c>
      <c r="G2298" s="567">
        <v>437</v>
      </c>
      <c r="H2298" s="567">
        <v>4151</v>
      </c>
      <c r="O2298"/>
    </row>
    <row r="2299" spans="1:15" x14ac:dyDescent="0.2">
      <c r="A2299" s="567">
        <v>3205</v>
      </c>
      <c r="B2299" s="568" t="s">
        <v>3049</v>
      </c>
      <c r="C2299" s="568" t="s">
        <v>3050</v>
      </c>
      <c r="D2299" s="567">
        <v>9223</v>
      </c>
      <c r="E2299" s="567">
        <v>88</v>
      </c>
      <c r="F2299" s="567">
        <v>11</v>
      </c>
      <c r="G2299" s="567">
        <v>437</v>
      </c>
      <c r="H2299" s="567">
        <v>4151</v>
      </c>
      <c r="O2299"/>
    </row>
    <row r="2300" spans="1:15" x14ac:dyDescent="0.2">
      <c r="A2300" s="567">
        <v>3206</v>
      </c>
      <c r="B2300" s="568" t="s">
        <v>3049</v>
      </c>
      <c r="C2300" s="568" t="s">
        <v>3051</v>
      </c>
      <c r="D2300" s="567">
        <v>9224</v>
      </c>
      <c r="E2300" s="567">
        <v>88</v>
      </c>
      <c r="F2300" s="567">
        <v>11</v>
      </c>
      <c r="G2300" s="567">
        <v>437</v>
      </c>
      <c r="H2300" s="567">
        <v>4151</v>
      </c>
      <c r="O2300"/>
    </row>
    <row r="2301" spans="1:15" x14ac:dyDescent="0.2">
      <c r="A2301" s="567">
        <v>3207</v>
      </c>
      <c r="B2301" s="568" t="s">
        <v>3049</v>
      </c>
      <c r="C2301" s="568" t="s">
        <v>3052</v>
      </c>
      <c r="D2301" s="567">
        <v>9225</v>
      </c>
      <c r="E2301" s="567">
        <v>88</v>
      </c>
      <c r="F2301" s="567">
        <v>11</v>
      </c>
      <c r="G2301" s="567">
        <v>437</v>
      </c>
      <c r="H2301" s="567">
        <v>4151</v>
      </c>
      <c r="O2301"/>
    </row>
    <row r="2302" spans="1:15" x14ac:dyDescent="0.2">
      <c r="A2302" s="567">
        <v>3208</v>
      </c>
      <c r="B2302" s="568" t="s">
        <v>3049</v>
      </c>
      <c r="C2302" s="568" t="s">
        <v>2759</v>
      </c>
      <c r="D2302" s="567">
        <v>9226</v>
      </c>
      <c r="E2302" s="567">
        <v>88</v>
      </c>
      <c r="F2302" s="567">
        <v>11</v>
      </c>
      <c r="G2302" s="567">
        <v>437</v>
      </c>
      <c r="H2302" s="567">
        <v>4151</v>
      </c>
      <c r="O2302"/>
    </row>
    <row r="2303" spans="1:15" x14ac:dyDescent="0.2">
      <c r="A2303" s="567">
        <v>3209</v>
      </c>
      <c r="B2303" s="568" t="s">
        <v>3049</v>
      </c>
      <c r="C2303" s="568" t="s">
        <v>433</v>
      </c>
      <c r="D2303" s="567">
        <v>9227</v>
      </c>
      <c r="E2303" s="567">
        <v>88</v>
      </c>
      <c r="F2303" s="567">
        <v>11</v>
      </c>
      <c r="G2303" s="567">
        <v>437</v>
      </c>
      <c r="H2303" s="567">
        <v>4151</v>
      </c>
      <c r="O2303"/>
    </row>
    <row r="2304" spans="1:15" x14ac:dyDescent="0.2">
      <c r="A2304" s="567">
        <v>3202</v>
      </c>
      <c r="B2304" s="568" t="s">
        <v>3049</v>
      </c>
      <c r="C2304" s="568" t="s">
        <v>3049</v>
      </c>
      <c r="D2304" s="567">
        <v>9220</v>
      </c>
      <c r="E2304" s="567">
        <v>88</v>
      </c>
      <c r="F2304" s="567">
        <v>11</v>
      </c>
      <c r="G2304" s="567">
        <v>437</v>
      </c>
      <c r="H2304" s="567">
        <v>4151</v>
      </c>
      <c r="O2304"/>
    </row>
    <row r="2305" spans="1:15" x14ac:dyDescent="0.2">
      <c r="A2305" s="567">
        <v>3203</v>
      </c>
      <c r="B2305" s="568" t="s">
        <v>3049</v>
      </c>
      <c r="C2305" s="568" t="s">
        <v>3075</v>
      </c>
      <c r="D2305" s="567">
        <v>9221</v>
      </c>
      <c r="E2305" s="567">
        <v>88</v>
      </c>
      <c r="F2305" s="567">
        <v>11</v>
      </c>
      <c r="G2305" s="567">
        <v>437</v>
      </c>
      <c r="H2305" s="567">
        <v>4151</v>
      </c>
      <c r="O2305"/>
    </row>
    <row r="2306" spans="1:15" x14ac:dyDescent="0.2">
      <c r="A2306" s="567">
        <v>2677</v>
      </c>
      <c r="B2306" s="568" t="s">
        <v>2924</v>
      </c>
      <c r="C2306" s="568" t="s">
        <v>2924</v>
      </c>
      <c r="D2306" s="567">
        <v>7710</v>
      </c>
      <c r="E2306" s="567">
        <v>59</v>
      </c>
      <c r="F2306" s="567">
        <v>18</v>
      </c>
      <c r="G2306" s="567">
        <v>415</v>
      </c>
      <c r="H2306" s="567">
        <v>4131</v>
      </c>
      <c r="O2306"/>
    </row>
    <row r="2307" spans="1:15" x14ac:dyDescent="0.2">
      <c r="A2307" s="567">
        <v>1239</v>
      </c>
      <c r="B2307" s="568" t="s">
        <v>1284</v>
      </c>
      <c r="C2307" s="568" t="s">
        <v>1284</v>
      </c>
      <c r="D2307" s="567">
        <v>3340</v>
      </c>
      <c r="E2307" s="567">
        <v>66</v>
      </c>
      <c r="F2307" s="567">
        <v>3</v>
      </c>
      <c r="G2307" s="567">
        <v>215</v>
      </c>
      <c r="H2307" s="567">
        <v>2121</v>
      </c>
      <c r="O2307"/>
    </row>
    <row r="2308" spans="1:15" x14ac:dyDescent="0.2">
      <c r="A2308" s="567">
        <v>1240</v>
      </c>
      <c r="B2308" s="568" t="s">
        <v>1284</v>
      </c>
      <c r="C2308" s="568" t="s">
        <v>1285</v>
      </c>
      <c r="D2308" s="567">
        <v>3341</v>
      </c>
      <c r="E2308" s="567">
        <v>66</v>
      </c>
      <c r="F2308" s="567">
        <v>3</v>
      </c>
      <c r="G2308" s="567">
        <v>215</v>
      </c>
      <c r="H2308" s="567">
        <v>2121</v>
      </c>
      <c r="O2308"/>
    </row>
    <row r="2309" spans="1:15" x14ac:dyDescent="0.2">
      <c r="A2309" s="567">
        <v>1241</v>
      </c>
      <c r="B2309" s="568" t="s">
        <v>1284</v>
      </c>
      <c r="C2309" s="568" t="s">
        <v>1286</v>
      </c>
      <c r="D2309" s="567">
        <v>3342</v>
      </c>
      <c r="E2309" s="567">
        <v>66</v>
      </c>
      <c r="F2309" s="567">
        <v>3</v>
      </c>
      <c r="G2309" s="567">
        <v>215</v>
      </c>
      <c r="H2309" s="567">
        <v>2121</v>
      </c>
      <c r="O2309"/>
    </row>
    <row r="2310" spans="1:15" x14ac:dyDescent="0.2">
      <c r="A2310" s="567">
        <v>1173</v>
      </c>
      <c r="B2310" s="568" t="s">
        <v>1391</v>
      </c>
      <c r="C2310" s="568" t="s">
        <v>1391</v>
      </c>
      <c r="D2310" s="567">
        <v>3080</v>
      </c>
      <c r="E2310" s="567">
        <v>63</v>
      </c>
      <c r="F2310" s="567">
        <v>1</v>
      </c>
      <c r="G2310" s="567">
        <v>226</v>
      </c>
      <c r="H2310" s="567">
        <v>2130</v>
      </c>
      <c r="O2310"/>
    </row>
    <row r="2311" spans="1:15" x14ac:dyDescent="0.2">
      <c r="A2311" s="567">
        <v>516</v>
      </c>
      <c r="B2311" s="568" t="s">
        <v>772</v>
      </c>
      <c r="C2311" s="568" t="s">
        <v>772</v>
      </c>
      <c r="D2311" s="567">
        <v>1045</v>
      </c>
      <c r="E2311" s="567">
        <v>63</v>
      </c>
      <c r="F2311" s="567">
        <v>1</v>
      </c>
      <c r="G2311" s="567">
        <v>118</v>
      </c>
      <c r="H2311" s="567">
        <v>1170</v>
      </c>
      <c r="O2311"/>
    </row>
    <row r="2312" spans="1:15" x14ac:dyDescent="0.2">
      <c r="A2312" s="567">
        <v>2638</v>
      </c>
      <c r="B2312" s="568" t="s">
        <v>2954</v>
      </c>
      <c r="C2312" s="568" t="s">
        <v>2954</v>
      </c>
      <c r="D2312" s="567">
        <v>7600</v>
      </c>
      <c r="E2312" s="567">
        <v>60</v>
      </c>
      <c r="F2312" s="567">
        <v>2</v>
      </c>
      <c r="G2312" s="567">
        <v>415</v>
      </c>
      <c r="H2312" s="567">
        <v>4131</v>
      </c>
      <c r="O2312"/>
    </row>
    <row r="2313" spans="1:15" x14ac:dyDescent="0.2">
      <c r="A2313" s="567">
        <v>2639</v>
      </c>
      <c r="B2313" s="568" t="s">
        <v>2954</v>
      </c>
      <c r="C2313" s="568" t="s">
        <v>2955</v>
      </c>
      <c r="D2313" s="567">
        <v>7601</v>
      </c>
      <c r="E2313" s="567">
        <v>60</v>
      </c>
      <c r="F2313" s="567">
        <v>2</v>
      </c>
      <c r="G2313" s="567">
        <v>415</v>
      </c>
      <c r="H2313" s="567">
        <v>4131</v>
      </c>
      <c r="O2313"/>
    </row>
    <row r="2314" spans="1:15" x14ac:dyDescent="0.2">
      <c r="A2314" s="567">
        <v>2640</v>
      </c>
      <c r="B2314" s="568" t="s">
        <v>2954</v>
      </c>
      <c r="C2314" s="568" t="s">
        <v>2956</v>
      </c>
      <c r="D2314" s="567">
        <v>7602</v>
      </c>
      <c r="E2314" s="567">
        <v>60</v>
      </c>
      <c r="F2314" s="567">
        <v>2</v>
      </c>
      <c r="G2314" s="567">
        <v>415</v>
      </c>
      <c r="H2314" s="567">
        <v>4131</v>
      </c>
      <c r="O2314"/>
    </row>
    <row r="2315" spans="1:15" x14ac:dyDescent="0.2">
      <c r="A2315" s="567">
        <v>2641</v>
      </c>
      <c r="B2315" s="568" t="s">
        <v>2954</v>
      </c>
      <c r="C2315" s="568" t="s">
        <v>2957</v>
      </c>
      <c r="D2315" s="567">
        <v>7603</v>
      </c>
      <c r="E2315" s="567">
        <v>60</v>
      </c>
      <c r="F2315" s="567">
        <v>2</v>
      </c>
      <c r="G2315" s="567">
        <v>415</v>
      </c>
      <c r="H2315" s="567">
        <v>4131</v>
      </c>
      <c r="O2315"/>
    </row>
    <row r="2316" spans="1:15" x14ac:dyDescent="0.2">
      <c r="A2316" s="567">
        <v>743</v>
      </c>
      <c r="B2316" s="568" t="s">
        <v>858</v>
      </c>
      <c r="C2316" s="568" t="s">
        <v>858</v>
      </c>
      <c r="D2316" s="567">
        <v>1735</v>
      </c>
      <c r="E2316" s="567">
        <v>56</v>
      </c>
      <c r="F2316" s="567">
        <v>2</v>
      </c>
      <c r="G2316" s="567">
        <v>116</v>
      </c>
      <c r="H2316" s="567">
        <v>1180</v>
      </c>
      <c r="O2316"/>
    </row>
    <row r="2317" spans="1:15" x14ac:dyDescent="0.2">
      <c r="A2317" s="567">
        <v>630</v>
      </c>
      <c r="B2317" s="568" t="s">
        <v>173</v>
      </c>
      <c r="C2317" s="568" t="s">
        <v>173</v>
      </c>
      <c r="D2317" s="567">
        <v>1390</v>
      </c>
      <c r="E2317" s="567">
        <v>55</v>
      </c>
      <c r="F2317" s="567">
        <v>2</v>
      </c>
      <c r="G2317" s="567">
        <v>119</v>
      </c>
      <c r="H2317" s="567">
        <v>1110</v>
      </c>
      <c r="O2317"/>
    </row>
    <row r="2318" spans="1:15" x14ac:dyDescent="0.2">
      <c r="A2318" s="567">
        <v>2306</v>
      </c>
      <c r="B2318" s="568" t="s">
        <v>2314</v>
      </c>
      <c r="C2318" s="568" t="s">
        <v>2313</v>
      </c>
      <c r="D2318" s="567">
        <v>6644</v>
      </c>
      <c r="E2318" s="567">
        <v>63</v>
      </c>
      <c r="F2318" s="567">
        <v>4</v>
      </c>
      <c r="G2318" s="567">
        <v>335</v>
      </c>
      <c r="H2318" s="567">
        <v>3151</v>
      </c>
      <c r="O2318"/>
    </row>
    <row r="2319" spans="1:15" x14ac:dyDescent="0.2">
      <c r="A2319" s="567">
        <v>2307</v>
      </c>
      <c r="B2319" s="568" t="s">
        <v>2314</v>
      </c>
      <c r="C2319" s="568" t="s">
        <v>2315</v>
      </c>
      <c r="D2319" s="567">
        <v>6645</v>
      </c>
      <c r="E2319" s="567">
        <v>63</v>
      </c>
      <c r="F2319" s="567">
        <v>4</v>
      </c>
      <c r="G2319" s="567">
        <v>335</v>
      </c>
      <c r="H2319" s="567">
        <v>3151</v>
      </c>
      <c r="O2319"/>
    </row>
    <row r="2320" spans="1:15" x14ac:dyDescent="0.2">
      <c r="A2320" s="567">
        <v>2308</v>
      </c>
      <c r="B2320" s="568" t="s">
        <v>2314</v>
      </c>
      <c r="C2320" s="568" t="s">
        <v>2316</v>
      </c>
      <c r="D2320" s="567">
        <v>6646</v>
      </c>
      <c r="E2320" s="567">
        <v>63</v>
      </c>
      <c r="F2320" s="567">
        <v>4</v>
      </c>
      <c r="G2320" s="567">
        <v>335</v>
      </c>
      <c r="H2320" s="567">
        <v>3151</v>
      </c>
      <c r="O2320"/>
    </row>
    <row r="2321" spans="1:15" x14ac:dyDescent="0.2">
      <c r="A2321" s="567">
        <v>2304</v>
      </c>
      <c r="B2321" s="568" t="s">
        <v>2314</v>
      </c>
      <c r="C2321" s="568" t="s">
        <v>2322</v>
      </c>
      <c r="D2321" s="567">
        <v>6642</v>
      </c>
      <c r="E2321" s="567">
        <v>63</v>
      </c>
      <c r="F2321" s="567">
        <v>4</v>
      </c>
      <c r="G2321" s="567">
        <v>335</v>
      </c>
      <c r="H2321" s="567">
        <v>3151</v>
      </c>
      <c r="O2321"/>
    </row>
    <row r="2322" spans="1:15" x14ac:dyDescent="0.2">
      <c r="A2322" s="567">
        <v>2303</v>
      </c>
      <c r="B2322" s="568" t="s">
        <v>2314</v>
      </c>
      <c r="C2322" s="568" t="s">
        <v>2324</v>
      </c>
      <c r="D2322" s="567">
        <v>6641</v>
      </c>
      <c r="E2322" s="567">
        <v>63</v>
      </c>
      <c r="F2322" s="567">
        <v>4</v>
      </c>
      <c r="G2322" s="567">
        <v>335</v>
      </c>
      <c r="H2322" s="567">
        <v>3151</v>
      </c>
      <c r="O2322"/>
    </row>
    <row r="2323" spans="1:15" x14ac:dyDescent="0.2">
      <c r="A2323" s="567">
        <v>2305</v>
      </c>
      <c r="B2323" s="568" t="s">
        <v>2314</v>
      </c>
      <c r="C2323" s="568" t="s">
        <v>2344</v>
      </c>
      <c r="D2323" s="567">
        <v>6643</v>
      </c>
      <c r="E2323" s="567">
        <v>63</v>
      </c>
      <c r="F2323" s="567">
        <v>4</v>
      </c>
      <c r="G2323" s="567">
        <v>335</v>
      </c>
      <c r="H2323" s="567">
        <v>3151</v>
      </c>
      <c r="O2323"/>
    </row>
    <row r="2324" spans="1:15" x14ac:dyDescent="0.2">
      <c r="A2324" s="567">
        <v>2302</v>
      </c>
      <c r="B2324" s="568" t="s">
        <v>2314</v>
      </c>
      <c r="C2324" s="568" t="s">
        <v>2354</v>
      </c>
      <c r="D2324" s="567">
        <v>6640</v>
      </c>
      <c r="E2324" s="567">
        <v>63</v>
      </c>
      <c r="F2324" s="567">
        <v>4</v>
      </c>
      <c r="G2324" s="567">
        <v>335</v>
      </c>
      <c r="H2324" s="567">
        <v>3151</v>
      </c>
      <c r="O2324"/>
    </row>
    <row r="2325" spans="1:15" x14ac:dyDescent="0.2">
      <c r="A2325" s="567">
        <v>2490</v>
      </c>
      <c r="B2325" s="568" t="s">
        <v>2067</v>
      </c>
      <c r="C2325" s="568" t="s">
        <v>2067</v>
      </c>
      <c r="D2325" s="567">
        <v>7155</v>
      </c>
      <c r="E2325" s="567">
        <v>67</v>
      </c>
      <c r="F2325" s="567">
        <v>5</v>
      </c>
      <c r="G2325" s="567">
        <v>336</v>
      </c>
      <c r="H2325" s="567">
        <v>3130</v>
      </c>
      <c r="O2325"/>
    </row>
    <row r="2326" spans="1:15" x14ac:dyDescent="0.2">
      <c r="A2326" s="567">
        <v>894</v>
      </c>
      <c r="B2326" s="568" t="s">
        <v>102</v>
      </c>
      <c r="C2326" s="568" t="s">
        <v>101</v>
      </c>
      <c r="D2326" s="567">
        <v>2290</v>
      </c>
      <c r="E2326" s="567">
        <v>89</v>
      </c>
      <c r="F2326" s="567">
        <v>19</v>
      </c>
      <c r="G2326" s="567">
        <v>136</v>
      </c>
      <c r="H2326" s="567">
        <v>1101</v>
      </c>
      <c r="O2326"/>
    </row>
    <row r="2327" spans="1:15" x14ac:dyDescent="0.2">
      <c r="A2327" s="567">
        <v>895</v>
      </c>
      <c r="B2327" s="568" t="s">
        <v>102</v>
      </c>
      <c r="C2327" s="568" t="s">
        <v>103</v>
      </c>
      <c r="D2327" s="567">
        <v>2291</v>
      </c>
      <c r="E2327" s="567">
        <v>89</v>
      </c>
      <c r="F2327" s="567">
        <v>19</v>
      </c>
      <c r="G2327" s="567">
        <v>136</v>
      </c>
      <c r="H2327" s="567">
        <v>1101</v>
      </c>
      <c r="O2327"/>
    </row>
    <row r="2328" spans="1:15" x14ac:dyDescent="0.2">
      <c r="A2328" s="567">
        <v>2846</v>
      </c>
      <c r="B2328" s="568" t="s">
        <v>3223</v>
      </c>
      <c r="C2328" s="568" t="s">
        <v>3223</v>
      </c>
      <c r="D2328" s="567">
        <v>8195</v>
      </c>
      <c r="E2328" s="567">
        <v>97</v>
      </c>
      <c r="F2328" s="567">
        <v>13</v>
      </c>
      <c r="G2328" s="567">
        <v>425</v>
      </c>
      <c r="H2328" s="567">
        <v>4170</v>
      </c>
      <c r="O2328"/>
    </row>
    <row r="2329" spans="1:15" x14ac:dyDescent="0.2">
      <c r="A2329" s="567">
        <v>2742</v>
      </c>
      <c r="B2329" s="568" t="s">
        <v>2637</v>
      </c>
      <c r="C2329" s="568" t="s">
        <v>2636</v>
      </c>
      <c r="D2329" s="567">
        <v>7881</v>
      </c>
      <c r="E2329" s="567">
        <v>51</v>
      </c>
      <c r="F2329" s="567">
        <v>17</v>
      </c>
      <c r="G2329" s="567">
        <v>417</v>
      </c>
      <c r="H2329" s="567">
        <v>4100</v>
      </c>
      <c r="O2329"/>
    </row>
    <row r="2330" spans="1:15" x14ac:dyDescent="0.2">
      <c r="A2330" s="567">
        <v>2743</v>
      </c>
      <c r="B2330" s="568" t="s">
        <v>2637</v>
      </c>
      <c r="C2330" s="568" t="s">
        <v>2642</v>
      </c>
      <c r="D2330" s="567">
        <v>7882</v>
      </c>
      <c r="E2330" s="567">
        <v>51</v>
      </c>
      <c r="F2330" s="567">
        <v>17</v>
      </c>
      <c r="G2330" s="567">
        <v>417</v>
      </c>
      <c r="H2330" s="567">
        <v>4100</v>
      </c>
      <c r="O2330"/>
    </row>
    <row r="2331" spans="1:15" x14ac:dyDescent="0.2">
      <c r="A2331" s="567">
        <v>2741</v>
      </c>
      <c r="B2331" s="568" t="s">
        <v>2637</v>
      </c>
      <c r="C2331" s="568" t="s">
        <v>2637</v>
      </c>
      <c r="D2331" s="567">
        <v>7880</v>
      </c>
      <c r="E2331" s="567">
        <v>51</v>
      </c>
      <c r="F2331" s="567">
        <v>17</v>
      </c>
      <c r="G2331" s="567">
        <v>417</v>
      </c>
      <c r="H2331" s="567">
        <v>4100</v>
      </c>
      <c r="O2331"/>
    </row>
    <row r="2332" spans="1:15" x14ac:dyDescent="0.2">
      <c r="A2332" s="567">
        <v>1347</v>
      </c>
      <c r="B2332" s="568" t="s">
        <v>1134</v>
      </c>
      <c r="C2332" s="568" t="s">
        <v>1134</v>
      </c>
      <c r="D2332" s="567">
        <v>3680</v>
      </c>
      <c r="E2332" s="567">
        <v>43</v>
      </c>
      <c r="F2332" s="567">
        <v>3</v>
      </c>
      <c r="G2332" s="567">
        <v>216</v>
      </c>
      <c r="H2332" s="567">
        <v>2100</v>
      </c>
      <c r="O2332"/>
    </row>
    <row r="2333" spans="1:15" x14ac:dyDescent="0.2">
      <c r="A2333" s="567">
        <v>1348</v>
      </c>
      <c r="B2333" s="568" t="s">
        <v>1134</v>
      </c>
      <c r="C2333" s="568" t="s">
        <v>1135</v>
      </c>
      <c r="D2333" s="567">
        <v>3681</v>
      </c>
      <c r="E2333" s="567">
        <v>43</v>
      </c>
      <c r="F2333" s="567">
        <v>3</v>
      </c>
      <c r="G2333" s="567">
        <v>216</v>
      </c>
      <c r="H2333" s="567">
        <v>2100</v>
      </c>
      <c r="O2333"/>
    </row>
    <row r="2334" spans="1:15" x14ac:dyDescent="0.2">
      <c r="A2334" s="567">
        <v>1349</v>
      </c>
      <c r="B2334" s="568" t="s">
        <v>1134</v>
      </c>
      <c r="C2334" s="568" t="s">
        <v>1136</v>
      </c>
      <c r="D2334" s="567">
        <v>3682</v>
      </c>
      <c r="E2334" s="567">
        <v>43</v>
      </c>
      <c r="F2334" s="567">
        <v>3</v>
      </c>
      <c r="G2334" s="567">
        <v>216</v>
      </c>
      <c r="H2334" s="567">
        <v>2100</v>
      </c>
      <c r="O2334"/>
    </row>
    <row r="2335" spans="1:15" x14ac:dyDescent="0.2">
      <c r="A2335" s="567">
        <v>1350</v>
      </c>
      <c r="B2335" s="568" t="s">
        <v>1134</v>
      </c>
      <c r="C2335" s="568" t="s">
        <v>1137</v>
      </c>
      <c r="D2335" s="567">
        <v>3683</v>
      </c>
      <c r="E2335" s="567">
        <v>43</v>
      </c>
      <c r="F2335" s="567">
        <v>3</v>
      </c>
      <c r="G2335" s="567">
        <v>216</v>
      </c>
      <c r="H2335" s="567">
        <v>2100</v>
      </c>
      <c r="O2335"/>
    </row>
    <row r="2336" spans="1:15" x14ac:dyDescent="0.2">
      <c r="A2336" s="567">
        <v>1352</v>
      </c>
      <c r="B2336" s="568" t="s">
        <v>1134</v>
      </c>
      <c r="C2336" s="568" t="s">
        <v>1139</v>
      </c>
      <c r="D2336" s="567">
        <v>3685</v>
      </c>
      <c r="E2336" s="567">
        <v>43</v>
      </c>
      <c r="F2336" s="567">
        <v>3</v>
      </c>
      <c r="G2336" s="567">
        <v>216</v>
      </c>
      <c r="H2336" s="567">
        <v>2100</v>
      </c>
      <c r="O2336"/>
    </row>
    <row r="2337" spans="1:15" x14ac:dyDescent="0.2">
      <c r="A2337" s="567">
        <v>1351</v>
      </c>
      <c r="B2337" s="568" t="s">
        <v>1134</v>
      </c>
      <c r="C2337" s="568" t="s">
        <v>1148</v>
      </c>
      <c r="D2337" s="567">
        <v>3684</v>
      </c>
      <c r="E2337" s="567">
        <v>43</v>
      </c>
      <c r="F2337" s="567">
        <v>3</v>
      </c>
      <c r="G2337" s="567">
        <v>216</v>
      </c>
      <c r="H2337" s="567">
        <v>2100</v>
      </c>
      <c r="O2337"/>
    </row>
    <row r="2338" spans="1:15" x14ac:dyDescent="0.2">
      <c r="A2338" s="567">
        <v>2808</v>
      </c>
      <c r="B2338" s="568" t="s">
        <v>2624</v>
      </c>
      <c r="C2338" s="568" t="s">
        <v>2624</v>
      </c>
      <c r="D2338" s="567">
        <v>8055</v>
      </c>
      <c r="E2338" s="567">
        <v>52</v>
      </c>
      <c r="F2338" s="567">
        <v>16</v>
      </c>
      <c r="G2338" s="567">
        <v>417</v>
      </c>
      <c r="H2338" s="567">
        <v>4100</v>
      </c>
      <c r="O2338"/>
    </row>
    <row r="2339" spans="1:15" x14ac:dyDescent="0.2">
      <c r="A2339" s="567">
        <v>1214</v>
      </c>
      <c r="B2339" s="568" t="s">
        <v>388</v>
      </c>
      <c r="C2339" s="568" t="s">
        <v>1411</v>
      </c>
      <c r="D2339" s="567">
        <v>3252</v>
      </c>
      <c r="E2339" s="567">
        <v>65</v>
      </c>
      <c r="F2339" s="567">
        <v>3</v>
      </c>
      <c r="G2339" s="567">
        <v>226</v>
      </c>
      <c r="H2339" s="567">
        <v>2130</v>
      </c>
      <c r="O2339"/>
    </row>
    <row r="2340" spans="1:15" x14ac:dyDescent="0.2">
      <c r="A2340" s="567">
        <v>1212</v>
      </c>
      <c r="B2340" s="568" t="s">
        <v>388</v>
      </c>
      <c r="C2340" s="568" t="s">
        <v>388</v>
      </c>
      <c r="D2340" s="567">
        <v>3250</v>
      </c>
      <c r="E2340" s="567">
        <v>65</v>
      </c>
      <c r="F2340" s="567">
        <v>3</v>
      </c>
      <c r="G2340" s="567">
        <v>226</v>
      </c>
      <c r="H2340" s="567">
        <v>2130</v>
      </c>
      <c r="O2340"/>
    </row>
    <row r="2341" spans="1:15" x14ac:dyDescent="0.2">
      <c r="A2341" s="567">
        <v>1213</v>
      </c>
      <c r="B2341" s="568" t="s">
        <v>388</v>
      </c>
      <c r="C2341" s="568" t="s">
        <v>1442</v>
      </c>
      <c r="D2341" s="567">
        <v>3251</v>
      </c>
      <c r="E2341" s="567">
        <v>65</v>
      </c>
      <c r="F2341" s="567">
        <v>3</v>
      </c>
      <c r="G2341" s="567">
        <v>226</v>
      </c>
      <c r="H2341" s="567">
        <v>2130</v>
      </c>
      <c r="O2341"/>
    </row>
    <row r="2342" spans="1:15" x14ac:dyDescent="0.2">
      <c r="A2342" s="567">
        <v>3287</v>
      </c>
      <c r="B2342" s="568" t="s">
        <v>2788</v>
      </c>
      <c r="C2342" s="568" t="s">
        <v>2787</v>
      </c>
      <c r="D2342" s="567">
        <v>9583</v>
      </c>
      <c r="E2342" s="567">
        <v>64</v>
      </c>
      <c r="F2342" s="567">
        <v>9</v>
      </c>
      <c r="G2342" s="567">
        <v>436</v>
      </c>
      <c r="H2342" s="567">
        <v>4120</v>
      </c>
      <c r="O2342"/>
    </row>
    <row r="2343" spans="1:15" x14ac:dyDescent="0.2">
      <c r="A2343" s="567">
        <v>3286</v>
      </c>
      <c r="B2343" s="568" t="s">
        <v>2788</v>
      </c>
      <c r="C2343" s="568" t="s">
        <v>2796</v>
      </c>
      <c r="D2343" s="567">
        <v>9582</v>
      </c>
      <c r="E2343" s="567">
        <v>64</v>
      </c>
      <c r="F2343" s="567">
        <v>9</v>
      </c>
      <c r="G2343" s="567">
        <v>436</v>
      </c>
      <c r="H2343" s="567">
        <v>4120</v>
      </c>
      <c r="O2343"/>
    </row>
    <row r="2344" spans="1:15" x14ac:dyDescent="0.2">
      <c r="A2344" s="567">
        <v>3285</v>
      </c>
      <c r="B2344" s="568" t="s">
        <v>2788</v>
      </c>
      <c r="C2344" s="568" t="s">
        <v>69</v>
      </c>
      <c r="D2344" s="567">
        <v>9581</v>
      </c>
      <c r="E2344" s="567">
        <v>64</v>
      </c>
      <c r="F2344" s="567">
        <v>9</v>
      </c>
      <c r="G2344" s="567">
        <v>436</v>
      </c>
      <c r="H2344" s="567">
        <v>4120</v>
      </c>
      <c r="O2344"/>
    </row>
    <row r="2345" spans="1:15" x14ac:dyDescent="0.2">
      <c r="A2345" s="567">
        <v>3284</v>
      </c>
      <c r="B2345" s="568" t="s">
        <v>2788</v>
      </c>
      <c r="C2345" s="568" t="s">
        <v>2788</v>
      </c>
      <c r="D2345" s="567">
        <v>9580</v>
      </c>
      <c r="E2345" s="567">
        <v>64</v>
      </c>
      <c r="F2345" s="567">
        <v>9</v>
      </c>
      <c r="G2345" s="567">
        <v>436</v>
      </c>
      <c r="H2345" s="567">
        <v>4120</v>
      </c>
      <c r="O2345"/>
    </row>
    <row r="2346" spans="1:15" x14ac:dyDescent="0.2">
      <c r="A2346" s="567">
        <v>1066</v>
      </c>
      <c r="B2346" s="568" t="s">
        <v>1503</v>
      </c>
      <c r="C2346" s="568" t="s">
        <v>1502</v>
      </c>
      <c r="D2346" s="567">
        <v>2745</v>
      </c>
      <c r="E2346" s="567">
        <v>114</v>
      </c>
      <c r="F2346" s="567">
        <v>21</v>
      </c>
      <c r="G2346" s="567">
        <v>225</v>
      </c>
      <c r="H2346" s="567">
        <v>2140</v>
      </c>
      <c r="O2346"/>
    </row>
    <row r="2347" spans="1:15" x14ac:dyDescent="0.2">
      <c r="A2347" s="567">
        <v>1065</v>
      </c>
      <c r="B2347" s="568" t="s">
        <v>1503</v>
      </c>
      <c r="C2347" s="568" t="s">
        <v>1543</v>
      </c>
      <c r="D2347" s="567">
        <v>2744</v>
      </c>
      <c r="E2347" s="567">
        <v>114</v>
      </c>
      <c r="F2347" s="567">
        <v>21</v>
      </c>
      <c r="G2347" s="567">
        <v>225</v>
      </c>
      <c r="H2347" s="567">
        <v>2140</v>
      </c>
      <c r="O2347"/>
    </row>
    <row r="2348" spans="1:15" x14ac:dyDescent="0.2">
      <c r="A2348" s="567">
        <v>1064</v>
      </c>
      <c r="B2348" s="568" t="s">
        <v>1503</v>
      </c>
      <c r="C2348" s="568" t="s">
        <v>1544</v>
      </c>
      <c r="D2348" s="567">
        <v>2743</v>
      </c>
      <c r="E2348" s="567">
        <v>114</v>
      </c>
      <c r="F2348" s="567">
        <v>21</v>
      </c>
      <c r="G2348" s="567">
        <v>225</v>
      </c>
      <c r="H2348" s="567">
        <v>2140</v>
      </c>
      <c r="O2348"/>
    </row>
    <row r="2349" spans="1:15" x14ac:dyDescent="0.2">
      <c r="A2349" s="567">
        <v>1063</v>
      </c>
      <c r="B2349" s="568" t="s">
        <v>1503</v>
      </c>
      <c r="C2349" s="568" t="s">
        <v>1545</v>
      </c>
      <c r="D2349" s="567">
        <v>2742</v>
      </c>
      <c r="E2349" s="567">
        <v>114</v>
      </c>
      <c r="F2349" s="567">
        <v>21</v>
      </c>
      <c r="G2349" s="567">
        <v>225</v>
      </c>
      <c r="H2349" s="567">
        <v>2140</v>
      </c>
      <c r="O2349"/>
    </row>
    <row r="2350" spans="1:15" x14ac:dyDescent="0.2">
      <c r="A2350" s="567">
        <v>1062</v>
      </c>
      <c r="B2350" s="568" t="s">
        <v>1503</v>
      </c>
      <c r="C2350" s="568" t="s">
        <v>562</v>
      </c>
      <c r="D2350" s="567">
        <v>2741</v>
      </c>
      <c r="E2350" s="567">
        <v>114</v>
      </c>
      <c r="F2350" s="567">
        <v>21</v>
      </c>
      <c r="G2350" s="567">
        <v>225</v>
      </c>
      <c r="H2350" s="567">
        <v>2140</v>
      </c>
      <c r="O2350"/>
    </row>
    <row r="2351" spans="1:15" x14ac:dyDescent="0.2">
      <c r="A2351" s="567">
        <v>1061</v>
      </c>
      <c r="B2351" s="568" t="s">
        <v>1503</v>
      </c>
      <c r="C2351" s="568" t="s">
        <v>1546</v>
      </c>
      <c r="D2351" s="567">
        <v>2740</v>
      </c>
      <c r="E2351" s="567">
        <v>114</v>
      </c>
      <c r="F2351" s="567">
        <v>21</v>
      </c>
      <c r="G2351" s="567">
        <v>225</v>
      </c>
      <c r="H2351" s="567">
        <v>2140</v>
      </c>
      <c r="O2351"/>
    </row>
    <row r="2352" spans="1:15" x14ac:dyDescent="0.2">
      <c r="A2352" s="567">
        <v>812</v>
      </c>
      <c r="B2352" s="568" t="s">
        <v>420</v>
      </c>
      <c r="C2352" s="568" t="s">
        <v>420</v>
      </c>
      <c r="D2352" s="567">
        <v>2005</v>
      </c>
      <c r="E2352" s="567">
        <v>38</v>
      </c>
      <c r="F2352" s="567">
        <v>18</v>
      </c>
      <c r="G2352" s="567">
        <v>117</v>
      </c>
      <c r="H2352" s="567">
        <v>1130</v>
      </c>
      <c r="O2352"/>
    </row>
    <row r="2353" spans="1:15" x14ac:dyDescent="0.2">
      <c r="A2353" s="567">
        <v>2941</v>
      </c>
      <c r="B2353" s="568" t="s">
        <v>3275</v>
      </c>
      <c r="C2353" s="568" t="s">
        <v>3275</v>
      </c>
      <c r="D2353" s="567">
        <v>8465</v>
      </c>
      <c r="E2353" s="567">
        <v>98</v>
      </c>
      <c r="F2353" s="567">
        <v>14</v>
      </c>
      <c r="G2353" s="567">
        <v>425</v>
      </c>
      <c r="H2353" s="567">
        <v>4170</v>
      </c>
      <c r="O2353"/>
    </row>
    <row r="2354" spans="1:15" x14ac:dyDescent="0.2">
      <c r="A2354" s="567">
        <v>1190</v>
      </c>
      <c r="B2354" s="568" t="s">
        <v>1437</v>
      </c>
      <c r="C2354" s="568" t="s">
        <v>1437</v>
      </c>
      <c r="D2354" s="567">
        <v>3155</v>
      </c>
      <c r="E2354" s="567">
        <v>66</v>
      </c>
      <c r="F2354" s="567">
        <v>2</v>
      </c>
      <c r="G2354" s="567">
        <v>226</v>
      </c>
      <c r="H2354" s="567">
        <v>2130</v>
      </c>
      <c r="O2354"/>
    </row>
    <row r="2355" spans="1:15" x14ac:dyDescent="0.2">
      <c r="A2355" s="567">
        <v>2317</v>
      </c>
      <c r="B2355" s="568" t="s">
        <v>2312</v>
      </c>
      <c r="C2355" s="568" t="s">
        <v>2312</v>
      </c>
      <c r="D2355" s="567">
        <v>6670</v>
      </c>
      <c r="E2355" s="567">
        <v>66</v>
      </c>
      <c r="F2355" s="567">
        <v>4</v>
      </c>
      <c r="G2355" s="567">
        <v>335</v>
      </c>
      <c r="H2355" s="567">
        <v>3151</v>
      </c>
      <c r="O2355"/>
    </row>
    <row r="2356" spans="1:15" x14ac:dyDescent="0.2">
      <c r="A2356" s="567">
        <v>2176</v>
      </c>
      <c r="B2356" s="568" t="s">
        <v>2443</v>
      </c>
      <c r="C2356" s="568" t="s">
        <v>167</v>
      </c>
      <c r="D2356" s="567">
        <v>6225</v>
      </c>
      <c r="E2356" s="567">
        <v>40</v>
      </c>
      <c r="F2356" s="567">
        <v>15</v>
      </c>
      <c r="G2356" s="567">
        <v>327</v>
      </c>
      <c r="H2356" s="567">
        <v>3170</v>
      </c>
      <c r="O2356"/>
    </row>
    <row r="2357" spans="1:15" x14ac:dyDescent="0.2">
      <c r="A2357" s="567">
        <v>740</v>
      </c>
      <c r="B2357" s="568" t="s">
        <v>863</v>
      </c>
      <c r="C2357" s="568" t="s">
        <v>167</v>
      </c>
      <c r="D2357" s="567">
        <v>1720</v>
      </c>
      <c r="E2357" s="567">
        <v>58</v>
      </c>
      <c r="F2357" s="567">
        <v>18</v>
      </c>
      <c r="G2357" s="567">
        <v>116</v>
      </c>
      <c r="H2357" s="567">
        <v>1180</v>
      </c>
      <c r="O2357"/>
    </row>
    <row r="2358" spans="1:15" x14ac:dyDescent="0.2">
      <c r="A2358" s="567">
        <v>1209</v>
      </c>
      <c r="B2358" s="568" t="s">
        <v>1385</v>
      </c>
      <c r="C2358" s="568" t="s">
        <v>1385</v>
      </c>
      <c r="D2358" s="567">
        <v>3240</v>
      </c>
      <c r="E2358" s="567">
        <v>68</v>
      </c>
      <c r="F2358" s="567">
        <v>3</v>
      </c>
      <c r="G2358" s="567">
        <v>226</v>
      </c>
      <c r="H2358" s="567">
        <v>2130</v>
      </c>
      <c r="O2358"/>
    </row>
    <row r="2359" spans="1:15" x14ac:dyDescent="0.2">
      <c r="A2359" s="567">
        <v>1443</v>
      </c>
      <c r="B2359" s="568" t="s">
        <v>1583</v>
      </c>
      <c r="C2359" s="568" t="s">
        <v>1582</v>
      </c>
      <c r="D2359" s="567">
        <v>3942</v>
      </c>
      <c r="E2359" s="567">
        <v>71</v>
      </c>
      <c r="F2359" s="567">
        <v>2</v>
      </c>
      <c r="G2359" s="567">
        <v>236</v>
      </c>
      <c r="H2359" s="567">
        <v>2150</v>
      </c>
      <c r="O2359"/>
    </row>
    <row r="2360" spans="1:15" x14ac:dyDescent="0.2">
      <c r="A2360" s="567">
        <v>1442</v>
      </c>
      <c r="B2360" s="568" t="s">
        <v>1583</v>
      </c>
      <c r="C2360" s="568" t="s">
        <v>1584</v>
      </c>
      <c r="D2360" s="567">
        <v>3941</v>
      </c>
      <c r="E2360" s="567">
        <v>71</v>
      </c>
      <c r="F2360" s="567">
        <v>2</v>
      </c>
      <c r="G2360" s="567">
        <v>236</v>
      </c>
      <c r="H2360" s="567">
        <v>2150</v>
      </c>
      <c r="O2360"/>
    </row>
    <row r="2361" spans="1:15" x14ac:dyDescent="0.2">
      <c r="A2361" s="567">
        <v>1441</v>
      </c>
      <c r="B2361" s="568" t="s">
        <v>1583</v>
      </c>
      <c r="C2361" s="568" t="s">
        <v>1618</v>
      </c>
      <c r="D2361" s="567">
        <v>3940</v>
      </c>
      <c r="E2361" s="567">
        <v>71</v>
      </c>
      <c r="F2361" s="567">
        <v>2</v>
      </c>
      <c r="G2361" s="567">
        <v>236</v>
      </c>
      <c r="H2361" s="567">
        <v>2150</v>
      </c>
      <c r="O2361"/>
    </row>
    <row r="2362" spans="1:15" x14ac:dyDescent="0.2">
      <c r="A2362" s="567">
        <v>543</v>
      </c>
      <c r="B2362" s="568" t="s">
        <v>745</v>
      </c>
      <c r="C2362" s="568" t="s">
        <v>744</v>
      </c>
      <c r="D2362" s="567">
        <v>1123</v>
      </c>
      <c r="E2362" s="567">
        <v>81</v>
      </c>
      <c r="F2362" s="567">
        <v>1</v>
      </c>
      <c r="G2362" s="567">
        <v>118</v>
      </c>
      <c r="H2362" s="567">
        <v>1170</v>
      </c>
      <c r="O2362"/>
    </row>
    <row r="2363" spans="1:15" x14ac:dyDescent="0.2">
      <c r="A2363" s="567">
        <v>544</v>
      </c>
      <c r="B2363" s="568" t="s">
        <v>745</v>
      </c>
      <c r="C2363" s="568" t="s">
        <v>755</v>
      </c>
      <c r="D2363" s="567">
        <v>1124</v>
      </c>
      <c r="E2363" s="567">
        <v>81</v>
      </c>
      <c r="F2363" s="567">
        <v>1</v>
      </c>
      <c r="G2363" s="567">
        <v>118</v>
      </c>
      <c r="H2363" s="567">
        <v>1170</v>
      </c>
      <c r="O2363"/>
    </row>
    <row r="2364" spans="1:15" x14ac:dyDescent="0.2">
      <c r="A2364" s="567">
        <v>542</v>
      </c>
      <c r="B2364" s="568" t="s">
        <v>745</v>
      </c>
      <c r="C2364" s="568" t="s">
        <v>757</v>
      </c>
      <c r="D2364" s="567">
        <v>1122</v>
      </c>
      <c r="E2364" s="567">
        <v>81</v>
      </c>
      <c r="F2364" s="567">
        <v>1</v>
      </c>
      <c r="G2364" s="567">
        <v>118</v>
      </c>
      <c r="H2364" s="567">
        <v>1170</v>
      </c>
      <c r="O2364"/>
    </row>
    <row r="2365" spans="1:15" x14ac:dyDescent="0.2">
      <c r="A2365" s="567">
        <v>541</v>
      </c>
      <c r="B2365" s="568" t="s">
        <v>745</v>
      </c>
      <c r="C2365" s="568" t="s">
        <v>758</v>
      </c>
      <c r="D2365" s="567">
        <v>1121</v>
      </c>
      <c r="E2365" s="567">
        <v>81</v>
      </c>
      <c r="F2365" s="567">
        <v>1</v>
      </c>
      <c r="G2365" s="567">
        <v>118</v>
      </c>
      <c r="H2365" s="567">
        <v>1170</v>
      </c>
      <c r="O2365"/>
    </row>
    <row r="2366" spans="1:15" x14ac:dyDescent="0.2">
      <c r="A2366" s="567">
        <v>540</v>
      </c>
      <c r="B2366" s="568" t="s">
        <v>745</v>
      </c>
      <c r="C2366" s="568" t="s">
        <v>759</v>
      </c>
      <c r="D2366" s="567">
        <v>1120</v>
      </c>
      <c r="E2366" s="567">
        <v>81</v>
      </c>
      <c r="F2366" s="567">
        <v>1</v>
      </c>
      <c r="G2366" s="567">
        <v>118</v>
      </c>
      <c r="H2366" s="567">
        <v>1170</v>
      </c>
      <c r="O2366"/>
    </row>
    <row r="2367" spans="1:15" x14ac:dyDescent="0.2">
      <c r="A2367" s="567">
        <v>640</v>
      </c>
      <c r="B2367" s="568" t="s">
        <v>185</v>
      </c>
      <c r="C2367" s="568" t="s">
        <v>184</v>
      </c>
      <c r="D2367" s="567">
        <v>1415</v>
      </c>
      <c r="E2367" s="567">
        <v>90</v>
      </c>
      <c r="F2367" s="567">
        <v>2</v>
      </c>
      <c r="G2367" s="567">
        <v>119</v>
      </c>
      <c r="H2367" s="567">
        <v>1110</v>
      </c>
      <c r="O2367"/>
    </row>
    <row r="2368" spans="1:15" x14ac:dyDescent="0.2">
      <c r="A2368" s="567">
        <v>644</v>
      </c>
      <c r="B2368" s="568" t="s">
        <v>185</v>
      </c>
      <c r="C2368" s="568" t="s">
        <v>196</v>
      </c>
      <c r="D2368" s="567">
        <v>1419</v>
      </c>
      <c r="E2368" s="567">
        <v>90</v>
      </c>
      <c r="F2368" s="567">
        <v>2</v>
      </c>
      <c r="G2368" s="567">
        <v>119</v>
      </c>
      <c r="H2368" s="567">
        <v>1110</v>
      </c>
      <c r="O2368"/>
    </row>
    <row r="2369" spans="1:15" x14ac:dyDescent="0.2">
      <c r="A2369" s="567">
        <v>643</v>
      </c>
      <c r="B2369" s="568" t="s">
        <v>185</v>
      </c>
      <c r="C2369" s="568" t="s">
        <v>197</v>
      </c>
      <c r="D2369" s="567">
        <v>1418</v>
      </c>
      <c r="E2369" s="567">
        <v>90</v>
      </c>
      <c r="F2369" s="567">
        <v>2</v>
      </c>
      <c r="G2369" s="567">
        <v>119</v>
      </c>
      <c r="H2369" s="567">
        <v>1110</v>
      </c>
      <c r="O2369"/>
    </row>
    <row r="2370" spans="1:15" x14ac:dyDescent="0.2">
      <c r="A2370" s="567">
        <v>641</v>
      </c>
      <c r="B2370" s="568" t="s">
        <v>185</v>
      </c>
      <c r="C2370" s="568" t="s">
        <v>200</v>
      </c>
      <c r="D2370" s="567">
        <v>1416</v>
      </c>
      <c r="E2370" s="567">
        <v>90</v>
      </c>
      <c r="F2370" s="567">
        <v>2</v>
      </c>
      <c r="G2370" s="567">
        <v>119</v>
      </c>
      <c r="H2370" s="567">
        <v>1110</v>
      </c>
      <c r="O2370"/>
    </row>
    <row r="2371" spans="1:15" x14ac:dyDescent="0.2">
      <c r="A2371" s="567">
        <v>642</v>
      </c>
      <c r="B2371" s="568" t="s">
        <v>185</v>
      </c>
      <c r="C2371" s="568" t="s">
        <v>211</v>
      </c>
      <c r="D2371" s="567">
        <v>1417</v>
      </c>
      <c r="E2371" s="567">
        <v>90</v>
      </c>
      <c r="F2371" s="567">
        <v>2</v>
      </c>
      <c r="G2371" s="567">
        <v>119</v>
      </c>
      <c r="H2371" s="567">
        <v>1110</v>
      </c>
      <c r="O2371"/>
    </row>
    <row r="2372" spans="1:15" x14ac:dyDescent="0.2">
      <c r="A2372" s="567">
        <v>1683</v>
      </c>
      <c r="B2372" s="568" t="s">
        <v>2198</v>
      </c>
      <c r="C2372" s="568" t="s">
        <v>2198</v>
      </c>
      <c r="D2372" s="567">
        <v>4620</v>
      </c>
      <c r="E2372" s="567">
        <v>110</v>
      </c>
      <c r="F2372" s="567">
        <v>3</v>
      </c>
      <c r="G2372" s="567">
        <v>317</v>
      </c>
      <c r="H2372" s="567">
        <v>3140</v>
      </c>
      <c r="O2372"/>
    </row>
    <row r="2373" spans="1:15" x14ac:dyDescent="0.2">
      <c r="A2373" s="567">
        <v>1685</v>
      </c>
      <c r="B2373" s="568" t="s">
        <v>2198</v>
      </c>
      <c r="C2373" s="568" t="s">
        <v>1121</v>
      </c>
      <c r="D2373" s="567">
        <v>4622</v>
      </c>
      <c r="E2373" s="567">
        <v>110</v>
      </c>
      <c r="F2373" s="567">
        <v>3</v>
      </c>
      <c r="G2373" s="567">
        <v>317</v>
      </c>
      <c r="H2373" s="567">
        <v>3140</v>
      </c>
      <c r="O2373"/>
    </row>
    <row r="2374" spans="1:15" x14ac:dyDescent="0.2">
      <c r="A2374" s="567">
        <v>1684</v>
      </c>
      <c r="B2374" s="568" t="s">
        <v>2198</v>
      </c>
      <c r="C2374" s="568" t="s">
        <v>2208</v>
      </c>
      <c r="D2374" s="567">
        <v>4621</v>
      </c>
      <c r="E2374" s="567">
        <v>110</v>
      </c>
      <c r="F2374" s="567">
        <v>3</v>
      </c>
      <c r="G2374" s="567">
        <v>317</v>
      </c>
      <c r="H2374" s="567">
        <v>3140</v>
      </c>
      <c r="O2374"/>
    </row>
    <row r="2375" spans="1:15" x14ac:dyDescent="0.2">
      <c r="A2375" s="567">
        <v>686</v>
      </c>
      <c r="B2375" s="568" t="s">
        <v>658</v>
      </c>
      <c r="C2375" s="568" t="s">
        <v>658</v>
      </c>
      <c r="D2375" s="567">
        <v>1510</v>
      </c>
      <c r="E2375" s="567">
        <v>41</v>
      </c>
      <c r="F2375" s="567">
        <v>2</v>
      </c>
      <c r="G2375" s="567">
        <v>115</v>
      </c>
      <c r="H2375" s="567">
        <v>1161</v>
      </c>
      <c r="O2375"/>
    </row>
    <row r="2376" spans="1:15" x14ac:dyDescent="0.2">
      <c r="A2376" s="567">
        <v>687</v>
      </c>
      <c r="B2376" s="568" t="s">
        <v>658</v>
      </c>
      <c r="C2376" s="568" t="s">
        <v>664</v>
      </c>
      <c r="D2376" s="567">
        <v>1511</v>
      </c>
      <c r="E2376" s="567">
        <v>41</v>
      </c>
      <c r="F2376" s="567">
        <v>2</v>
      </c>
      <c r="G2376" s="567">
        <v>115</v>
      </c>
      <c r="H2376" s="567">
        <v>1161</v>
      </c>
      <c r="O2376"/>
    </row>
    <row r="2377" spans="1:15" x14ac:dyDescent="0.2">
      <c r="A2377" s="567">
        <v>2195</v>
      </c>
      <c r="B2377" s="568" t="s">
        <v>2456</v>
      </c>
      <c r="C2377" s="568" t="s">
        <v>2456</v>
      </c>
      <c r="D2377" s="567">
        <v>6325</v>
      </c>
      <c r="E2377" s="567">
        <v>41</v>
      </c>
      <c r="F2377" s="567">
        <v>15</v>
      </c>
      <c r="G2377" s="567">
        <v>327</v>
      </c>
      <c r="H2377" s="567">
        <v>3170</v>
      </c>
      <c r="O2377"/>
    </row>
    <row r="2378" spans="1:15" x14ac:dyDescent="0.2">
      <c r="A2378" s="567">
        <v>1874</v>
      </c>
      <c r="B2378" s="568" t="s">
        <v>1829</v>
      </c>
      <c r="C2378" s="568" t="s">
        <v>1829</v>
      </c>
      <c r="D2378" s="567">
        <v>5230</v>
      </c>
      <c r="E2378" s="567">
        <v>36</v>
      </c>
      <c r="F2378" s="567">
        <v>3</v>
      </c>
      <c r="G2378" s="567">
        <v>316</v>
      </c>
      <c r="H2378" s="567">
        <v>3110</v>
      </c>
      <c r="O2378"/>
    </row>
    <row r="2379" spans="1:15" x14ac:dyDescent="0.2">
      <c r="A2379" s="567">
        <v>2654</v>
      </c>
      <c r="B2379" s="568" t="s">
        <v>2900</v>
      </c>
      <c r="C2379" s="568" t="s">
        <v>2899</v>
      </c>
      <c r="D2379" s="567">
        <v>7645</v>
      </c>
      <c r="E2379" s="567">
        <v>61</v>
      </c>
      <c r="F2379" s="567">
        <v>18</v>
      </c>
      <c r="G2379" s="567">
        <v>415</v>
      </c>
      <c r="H2379" s="567">
        <v>4131</v>
      </c>
      <c r="O2379"/>
    </row>
    <row r="2380" spans="1:15" x14ac:dyDescent="0.2">
      <c r="A2380" s="567">
        <v>2655</v>
      </c>
      <c r="B2380" s="568" t="s">
        <v>2900</v>
      </c>
      <c r="C2380" s="568" t="s">
        <v>2901</v>
      </c>
      <c r="D2380" s="567">
        <v>7646</v>
      </c>
      <c r="E2380" s="567">
        <v>61</v>
      </c>
      <c r="F2380" s="567">
        <v>18</v>
      </c>
      <c r="G2380" s="567">
        <v>415</v>
      </c>
      <c r="H2380" s="567">
        <v>4131</v>
      </c>
      <c r="O2380"/>
    </row>
    <row r="2381" spans="1:15" x14ac:dyDescent="0.2">
      <c r="A2381" s="567">
        <v>2656</v>
      </c>
      <c r="B2381" s="568" t="s">
        <v>2900</v>
      </c>
      <c r="C2381" s="568" t="s">
        <v>2902</v>
      </c>
      <c r="D2381" s="567">
        <v>7647</v>
      </c>
      <c r="E2381" s="567">
        <v>61</v>
      </c>
      <c r="F2381" s="567">
        <v>18</v>
      </c>
      <c r="G2381" s="567">
        <v>415</v>
      </c>
      <c r="H2381" s="567">
        <v>4131</v>
      </c>
      <c r="O2381"/>
    </row>
    <row r="2382" spans="1:15" x14ac:dyDescent="0.2">
      <c r="A2382" s="567">
        <v>2657</v>
      </c>
      <c r="B2382" s="568" t="s">
        <v>2900</v>
      </c>
      <c r="C2382" s="568" t="s">
        <v>2903</v>
      </c>
      <c r="D2382" s="567">
        <v>7648</v>
      </c>
      <c r="E2382" s="567">
        <v>61</v>
      </c>
      <c r="F2382" s="567">
        <v>18</v>
      </c>
      <c r="G2382" s="567">
        <v>415</v>
      </c>
      <c r="H2382" s="567">
        <v>4131</v>
      </c>
      <c r="O2382"/>
    </row>
    <row r="2383" spans="1:15" x14ac:dyDescent="0.2">
      <c r="A2383" s="567">
        <v>2658</v>
      </c>
      <c r="B2383" s="568" t="s">
        <v>2900</v>
      </c>
      <c r="C2383" s="568" t="s">
        <v>2904</v>
      </c>
      <c r="D2383" s="567">
        <v>7649</v>
      </c>
      <c r="E2383" s="567">
        <v>61</v>
      </c>
      <c r="F2383" s="567">
        <v>18</v>
      </c>
      <c r="G2383" s="567">
        <v>415</v>
      </c>
      <c r="H2383" s="567">
        <v>4131</v>
      </c>
      <c r="O2383"/>
    </row>
    <row r="2384" spans="1:15" x14ac:dyDescent="0.2">
      <c r="A2384" s="567">
        <v>2659</v>
      </c>
      <c r="B2384" s="568" t="s">
        <v>2900</v>
      </c>
      <c r="C2384" s="568" t="s">
        <v>2905</v>
      </c>
      <c r="D2384" s="567">
        <v>7650</v>
      </c>
      <c r="E2384" s="567">
        <v>61</v>
      </c>
      <c r="F2384" s="567">
        <v>18</v>
      </c>
      <c r="G2384" s="567">
        <v>415</v>
      </c>
      <c r="H2384" s="567">
        <v>4131</v>
      </c>
      <c r="O2384"/>
    </row>
    <row r="2385" spans="1:15" x14ac:dyDescent="0.2">
      <c r="A2385" s="567">
        <v>2651</v>
      </c>
      <c r="B2385" s="568" t="s">
        <v>2900</v>
      </c>
      <c r="C2385" s="568" t="s">
        <v>2938</v>
      </c>
      <c r="D2385" s="567">
        <v>7642</v>
      </c>
      <c r="E2385" s="567">
        <v>61</v>
      </c>
      <c r="F2385" s="567">
        <v>18</v>
      </c>
      <c r="G2385" s="567">
        <v>415</v>
      </c>
      <c r="H2385" s="567">
        <v>4131</v>
      </c>
      <c r="O2385"/>
    </row>
    <row r="2386" spans="1:15" x14ac:dyDescent="0.2">
      <c r="A2386" s="567">
        <v>2652</v>
      </c>
      <c r="B2386" s="568" t="s">
        <v>2900</v>
      </c>
      <c r="C2386" s="568" t="s">
        <v>2951</v>
      </c>
      <c r="D2386" s="567">
        <v>7643</v>
      </c>
      <c r="E2386" s="567">
        <v>61</v>
      </c>
      <c r="F2386" s="567">
        <v>18</v>
      </c>
      <c r="G2386" s="567">
        <v>415</v>
      </c>
      <c r="H2386" s="567">
        <v>4131</v>
      </c>
      <c r="O2386"/>
    </row>
    <row r="2387" spans="1:15" x14ac:dyDescent="0.2">
      <c r="A2387" s="567">
        <v>2653</v>
      </c>
      <c r="B2387" s="568" t="s">
        <v>2900</v>
      </c>
      <c r="C2387" s="568" t="s">
        <v>2952</v>
      </c>
      <c r="D2387" s="567">
        <v>7644</v>
      </c>
      <c r="E2387" s="567">
        <v>61</v>
      </c>
      <c r="F2387" s="567">
        <v>18</v>
      </c>
      <c r="G2387" s="567">
        <v>415</v>
      </c>
      <c r="H2387" s="567">
        <v>4131</v>
      </c>
      <c r="O2387"/>
    </row>
    <row r="2388" spans="1:15" x14ac:dyDescent="0.2">
      <c r="A2388" s="567">
        <v>2649</v>
      </c>
      <c r="B2388" s="568" t="s">
        <v>2900</v>
      </c>
      <c r="C2388" s="568" t="s">
        <v>2900</v>
      </c>
      <c r="D2388" s="567">
        <v>7640</v>
      </c>
      <c r="E2388" s="567">
        <v>61</v>
      </c>
      <c r="F2388" s="567">
        <v>18</v>
      </c>
      <c r="G2388" s="567">
        <v>415</v>
      </c>
      <c r="H2388" s="567">
        <v>4131</v>
      </c>
      <c r="O2388"/>
    </row>
    <row r="2389" spans="1:15" x14ac:dyDescent="0.2">
      <c r="A2389" s="567">
        <v>2650</v>
      </c>
      <c r="B2389" s="568" t="s">
        <v>2900</v>
      </c>
      <c r="C2389" s="568" t="s">
        <v>2465</v>
      </c>
      <c r="D2389" s="567">
        <v>7641</v>
      </c>
      <c r="E2389" s="567">
        <v>61</v>
      </c>
      <c r="F2389" s="567">
        <v>18</v>
      </c>
      <c r="G2389" s="567">
        <v>415</v>
      </c>
      <c r="H2389" s="567">
        <v>4131</v>
      </c>
      <c r="O2389"/>
    </row>
    <row r="2390" spans="1:15" x14ac:dyDescent="0.2">
      <c r="A2390" s="567">
        <v>1656</v>
      </c>
      <c r="B2390" s="568" t="s">
        <v>1841</v>
      </c>
      <c r="C2390" s="568" t="s">
        <v>2173</v>
      </c>
      <c r="D2390" s="567">
        <v>4550</v>
      </c>
      <c r="E2390" s="567">
        <v>153</v>
      </c>
      <c r="F2390" s="567">
        <v>3</v>
      </c>
      <c r="G2390" s="567">
        <v>317</v>
      </c>
      <c r="H2390" s="567">
        <v>3140</v>
      </c>
      <c r="O2390"/>
    </row>
    <row r="2391" spans="1:15" x14ac:dyDescent="0.2">
      <c r="A2391" s="567">
        <v>1664</v>
      </c>
      <c r="B2391" s="568" t="s">
        <v>1841</v>
      </c>
      <c r="C2391" s="568" t="s">
        <v>2209</v>
      </c>
      <c r="D2391" s="567">
        <v>4558</v>
      </c>
      <c r="E2391" s="567">
        <v>153</v>
      </c>
      <c r="F2391" s="567">
        <v>3</v>
      </c>
      <c r="G2391" s="567">
        <v>317</v>
      </c>
      <c r="H2391" s="567">
        <v>3140</v>
      </c>
      <c r="O2391"/>
    </row>
    <row r="2392" spans="1:15" x14ac:dyDescent="0.2">
      <c r="A2392" s="567">
        <v>1657</v>
      </c>
      <c r="B2392" s="568" t="s">
        <v>1841</v>
      </c>
      <c r="C2392" s="568" t="s">
        <v>2211</v>
      </c>
      <c r="D2392" s="567">
        <v>4551</v>
      </c>
      <c r="E2392" s="567">
        <v>153</v>
      </c>
      <c r="F2392" s="567">
        <v>3</v>
      </c>
      <c r="G2392" s="567">
        <v>317</v>
      </c>
      <c r="H2392" s="567">
        <v>3140</v>
      </c>
      <c r="O2392"/>
    </row>
    <row r="2393" spans="1:15" x14ac:dyDescent="0.2">
      <c r="A2393" s="567">
        <v>1658</v>
      </c>
      <c r="B2393" s="568" t="s">
        <v>1841</v>
      </c>
      <c r="C2393" s="568" t="s">
        <v>2212</v>
      </c>
      <c r="D2393" s="567">
        <v>4552</v>
      </c>
      <c r="E2393" s="567">
        <v>153</v>
      </c>
      <c r="F2393" s="567">
        <v>3</v>
      </c>
      <c r="G2393" s="567">
        <v>317</v>
      </c>
      <c r="H2393" s="567">
        <v>3140</v>
      </c>
      <c r="O2393"/>
    </row>
    <row r="2394" spans="1:15" x14ac:dyDescent="0.2">
      <c r="A2394" s="567">
        <v>1659</v>
      </c>
      <c r="B2394" s="568" t="s">
        <v>1841</v>
      </c>
      <c r="C2394" s="568" t="s">
        <v>2213</v>
      </c>
      <c r="D2394" s="567">
        <v>4553</v>
      </c>
      <c r="E2394" s="567">
        <v>153</v>
      </c>
      <c r="F2394" s="567">
        <v>3</v>
      </c>
      <c r="G2394" s="567">
        <v>317</v>
      </c>
      <c r="H2394" s="567">
        <v>3140</v>
      </c>
      <c r="O2394"/>
    </row>
    <row r="2395" spans="1:15" x14ac:dyDescent="0.2">
      <c r="A2395" s="567">
        <v>1660</v>
      </c>
      <c r="B2395" s="568" t="s">
        <v>1841</v>
      </c>
      <c r="C2395" s="568" t="s">
        <v>415</v>
      </c>
      <c r="D2395" s="567">
        <v>4554</v>
      </c>
      <c r="E2395" s="567">
        <v>153</v>
      </c>
      <c r="F2395" s="567">
        <v>3</v>
      </c>
      <c r="G2395" s="567">
        <v>317</v>
      </c>
      <c r="H2395" s="567">
        <v>3140</v>
      </c>
      <c r="O2395"/>
    </row>
    <row r="2396" spans="1:15" x14ac:dyDescent="0.2">
      <c r="A2396" s="567">
        <v>1661</v>
      </c>
      <c r="B2396" s="568" t="s">
        <v>1841</v>
      </c>
      <c r="C2396" s="568" t="s">
        <v>2214</v>
      </c>
      <c r="D2396" s="567">
        <v>4555</v>
      </c>
      <c r="E2396" s="567">
        <v>153</v>
      </c>
      <c r="F2396" s="567">
        <v>3</v>
      </c>
      <c r="G2396" s="567">
        <v>317</v>
      </c>
      <c r="H2396" s="567">
        <v>3140</v>
      </c>
      <c r="O2396"/>
    </row>
    <row r="2397" spans="1:15" x14ac:dyDescent="0.2">
      <c r="A2397" s="567">
        <v>1663</v>
      </c>
      <c r="B2397" s="568" t="s">
        <v>1841</v>
      </c>
      <c r="C2397" s="568" t="s">
        <v>2216</v>
      </c>
      <c r="D2397" s="567">
        <v>4557</v>
      </c>
      <c r="E2397" s="567">
        <v>153</v>
      </c>
      <c r="F2397" s="567">
        <v>3</v>
      </c>
      <c r="G2397" s="567">
        <v>317</v>
      </c>
      <c r="H2397" s="567">
        <v>3140</v>
      </c>
      <c r="O2397"/>
    </row>
    <row r="2398" spans="1:15" x14ac:dyDescent="0.2">
      <c r="A2398" s="567">
        <v>1662</v>
      </c>
      <c r="B2398" s="568" t="s">
        <v>1841</v>
      </c>
      <c r="C2398" s="568" t="s">
        <v>2225</v>
      </c>
      <c r="D2398" s="567">
        <v>4556</v>
      </c>
      <c r="E2398" s="567">
        <v>153</v>
      </c>
      <c r="F2398" s="567">
        <v>3</v>
      </c>
      <c r="G2398" s="567">
        <v>317</v>
      </c>
      <c r="H2398" s="567">
        <v>3140</v>
      </c>
      <c r="O2398"/>
    </row>
    <row r="2399" spans="1:15" x14ac:dyDescent="0.2">
      <c r="A2399" s="567">
        <v>1816</v>
      </c>
      <c r="B2399" s="568" t="s">
        <v>1842</v>
      </c>
      <c r="C2399" s="568" t="s">
        <v>1841</v>
      </c>
      <c r="D2399" s="567">
        <v>5020</v>
      </c>
      <c r="E2399" s="567">
        <v>971</v>
      </c>
      <c r="F2399" s="567">
        <v>3</v>
      </c>
      <c r="G2399" s="567">
        <v>316</v>
      </c>
      <c r="H2399" s="567">
        <v>3110</v>
      </c>
      <c r="O2399"/>
    </row>
    <row r="2400" spans="1:15" x14ac:dyDescent="0.2">
      <c r="A2400" s="567">
        <v>2573</v>
      </c>
      <c r="B2400" s="568" t="s">
        <v>2043</v>
      </c>
      <c r="C2400" s="568" t="s">
        <v>2042</v>
      </c>
      <c r="D2400" s="567">
        <v>7387</v>
      </c>
      <c r="E2400" s="567">
        <v>69</v>
      </c>
      <c r="F2400" s="567">
        <v>3</v>
      </c>
      <c r="G2400" s="567">
        <v>336</v>
      </c>
      <c r="H2400" s="567">
        <v>3130</v>
      </c>
      <c r="O2400"/>
    </row>
    <row r="2401" spans="1:15" x14ac:dyDescent="0.2">
      <c r="A2401" s="567">
        <v>2572</v>
      </c>
      <c r="B2401" s="568" t="s">
        <v>2043</v>
      </c>
      <c r="C2401" s="568" t="s">
        <v>2044</v>
      </c>
      <c r="D2401" s="567">
        <v>7386</v>
      </c>
      <c r="E2401" s="567">
        <v>69</v>
      </c>
      <c r="F2401" s="567">
        <v>3</v>
      </c>
      <c r="G2401" s="567">
        <v>336</v>
      </c>
      <c r="H2401" s="567">
        <v>3130</v>
      </c>
      <c r="O2401"/>
    </row>
    <row r="2402" spans="1:15" x14ac:dyDescent="0.2">
      <c r="A2402" s="567">
        <v>2571</v>
      </c>
      <c r="B2402" s="568" t="s">
        <v>2043</v>
      </c>
      <c r="C2402" s="568" t="s">
        <v>2045</v>
      </c>
      <c r="D2402" s="567">
        <v>7385</v>
      </c>
      <c r="E2402" s="567">
        <v>69</v>
      </c>
      <c r="F2402" s="567">
        <v>3</v>
      </c>
      <c r="G2402" s="567">
        <v>336</v>
      </c>
      <c r="H2402" s="567">
        <v>3130</v>
      </c>
      <c r="O2402"/>
    </row>
    <row r="2403" spans="1:15" x14ac:dyDescent="0.2">
      <c r="A2403" s="567">
        <v>2570</v>
      </c>
      <c r="B2403" s="568" t="s">
        <v>2043</v>
      </c>
      <c r="C2403" s="568" t="s">
        <v>2046</v>
      </c>
      <c r="D2403" s="567">
        <v>7384</v>
      </c>
      <c r="E2403" s="567">
        <v>69</v>
      </c>
      <c r="F2403" s="567">
        <v>3</v>
      </c>
      <c r="G2403" s="567">
        <v>336</v>
      </c>
      <c r="H2403" s="567">
        <v>3130</v>
      </c>
      <c r="O2403"/>
    </row>
    <row r="2404" spans="1:15" x14ac:dyDescent="0.2">
      <c r="A2404" s="567">
        <v>2569</v>
      </c>
      <c r="B2404" s="568" t="s">
        <v>2043</v>
      </c>
      <c r="C2404" s="568" t="s">
        <v>2047</v>
      </c>
      <c r="D2404" s="567">
        <v>7383</v>
      </c>
      <c r="E2404" s="567">
        <v>69</v>
      </c>
      <c r="F2404" s="567">
        <v>3</v>
      </c>
      <c r="G2404" s="567">
        <v>336</v>
      </c>
      <c r="H2404" s="567">
        <v>3130</v>
      </c>
      <c r="O2404"/>
    </row>
    <row r="2405" spans="1:15" x14ac:dyDescent="0.2">
      <c r="A2405" s="567">
        <v>2568</v>
      </c>
      <c r="B2405" s="568" t="s">
        <v>2043</v>
      </c>
      <c r="C2405" s="568" t="s">
        <v>2048</v>
      </c>
      <c r="D2405" s="567">
        <v>7382</v>
      </c>
      <c r="E2405" s="567">
        <v>69</v>
      </c>
      <c r="F2405" s="567">
        <v>3</v>
      </c>
      <c r="G2405" s="567">
        <v>336</v>
      </c>
      <c r="H2405" s="567">
        <v>3130</v>
      </c>
      <c r="O2405"/>
    </row>
    <row r="2406" spans="1:15" x14ac:dyDescent="0.2">
      <c r="A2406" s="567">
        <v>2567</v>
      </c>
      <c r="B2406" s="568" t="s">
        <v>2043</v>
      </c>
      <c r="C2406" s="568" t="s">
        <v>2049</v>
      </c>
      <c r="D2406" s="567">
        <v>7381</v>
      </c>
      <c r="E2406" s="567">
        <v>69</v>
      </c>
      <c r="F2406" s="567">
        <v>3</v>
      </c>
      <c r="G2406" s="567">
        <v>336</v>
      </c>
      <c r="H2406" s="567">
        <v>3130</v>
      </c>
      <c r="O2406"/>
    </row>
    <row r="2407" spans="1:15" x14ac:dyDescent="0.2">
      <c r="A2407" s="567">
        <v>2566</v>
      </c>
      <c r="B2407" s="568" t="s">
        <v>2043</v>
      </c>
      <c r="C2407" s="568" t="s">
        <v>2050</v>
      </c>
      <c r="D2407" s="567">
        <v>7380</v>
      </c>
      <c r="E2407" s="567">
        <v>69</v>
      </c>
      <c r="F2407" s="567">
        <v>3</v>
      </c>
      <c r="G2407" s="567">
        <v>336</v>
      </c>
      <c r="H2407" s="567">
        <v>3130</v>
      </c>
      <c r="O2407"/>
    </row>
    <row r="2408" spans="1:15" x14ac:dyDescent="0.2">
      <c r="A2408" s="567">
        <v>1817</v>
      </c>
      <c r="B2408" s="568" t="s">
        <v>1281</v>
      </c>
      <c r="C2408" s="568" t="s">
        <v>1843</v>
      </c>
      <c r="D2408" s="567">
        <v>5040</v>
      </c>
      <c r="E2408" s="567">
        <v>53</v>
      </c>
      <c r="F2408" s="567">
        <v>3</v>
      </c>
      <c r="G2408" s="567">
        <v>316</v>
      </c>
      <c r="H2408" s="567">
        <v>3110</v>
      </c>
      <c r="O2408"/>
    </row>
    <row r="2409" spans="1:15" x14ac:dyDescent="0.2">
      <c r="A2409" s="567">
        <v>1818</v>
      </c>
      <c r="B2409" s="568" t="s">
        <v>1281</v>
      </c>
      <c r="C2409" s="568" t="s">
        <v>1283</v>
      </c>
      <c r="D2409" s="567">
        <v>5041</v>
      </c>
      <c r="E2409" s="567">
        <v>53</v>
      </c>
      <c r="F2409" s="567">
        <v>3</v>
      </c>
      <c r="G2409" s="567">
        <v>316</v>
      </c>
      <c r="H2409" s="567">
        <v>3110</v>
      </c>
      <c r="O2409"/>
    </row>
    <row r="2410" spans="1:15" x14ac:dyDescent="0.2">
      <c r="A2410" s="567">
        <v>1377</v>
      </c>
      <c r="B2410" s="568" t="s">
        <v>1114</v>
      </c>
      <c r="C2410" s="568" t="s">
        <v>1113</v>
      </c>
      <c r="D2410" s="567">
        <v>3760</v>
      </c>
      <c r="E2410" s="567">
        <v>63</v>
      </c>
      <c r="F2410" s="567">
        <v>3</v>
      </c>
      <c r="G2410" s="567">
        <v>216</v>
      </c>
      <c r="H2410" s="567">
        <v>2100</v>
      </c>
      <c r="O2410"/>
    </row>
    <row r="2411" spans="1:15" x14ac:dyDescent="0.2">
      <c r="A2411" s="567">
        <v>1378</v>
      </c>
      <c r="B2411" s="568" t="s">
        <v>1114</v>
      </c>
      <c r="C2411" s="568" t="s">
        <v>1115</v>
      </c>
      <c r="D2411" s="567">
        <v>3761</v>
      </c>
      <c r="E2411" s="567">
        <v>63</v>
      </c>
      <c r="F2411" s="567">
        <v>3</v>
      </c>
      <c r="G2411" s="567">
        <v>216</v>
      </c>
      <c r="H2411" s="567">
        <v>2100</v>
      </c>
      <c r="O2411"/>
    </row>
    <row r="2412" spans="1:15" x14ac:dyDescent="0.2">
      <c r="A2412" s="567">
        <v>1380</v>
      </c>
      <c r="B2412" s="568" t="s">
        <v>1114</v>
      </c>
      <c r="C2412" s="568" t="s">
        <v>1116</v>
      </c>
      <c r="D2412" s="567">
        <v>3763</v>
      </c>
      <c r="E2412" s="567">
        <v>63</v>
      </c>
      <c r="F2412" s="567">
        <v>3</v>
      </c>
      <c r="G2412" s="567">
        <v>216</v>
      </c>
      <c r="H2412" s="567">
        <v>2100</v>
      </c>
      <c r="O2412"/>
    </row>
    <row r="2413" spans="1:15" x14ac:dyDescent="0.2">
      <c r="A2413" s="567">
        <v>1379</v>
      </c>
      <c r="B2413" s="568" t="s">
        <v>1114</v>
      </c>
      <c r="C2413" s="568" t="s">
        <v>1128</v>
      </c>
      <c r="D2413" s="567">
        <v>3762</v>
      </c>
      <c r="E2413" s="567">
        <v>63</v>
      </c>
      <c r="F2413" s="567">
        <v>3</v>
      </c>
      <c r="G2413" s="567">
        <v>216</v>
      </c>
      <c r="H2413" s="567">
        <v>2100</v>
      </c>
      <c r="O2413"/>
    </row>
    <row r="2414" spans="1:15" x14ac:dyDescent="0.2">
      <c r="A2414" s="567">
        <v>1310</v>
      </c>
      <c r="B2414" s="568" t="s">
        <v>1343</v>
      </c>
      <c r="C2414" s="568" t="s">
        <v>1342</v>
      </c>
      <c r="D2414" s="567">
        <v>3550</v>
      </c>
      <c r="E2414" s="567">
        <v>108</v>
      </c>
      <c r="F2414" s="567">
        <v>3</v>
      </c>
      <c r="G2414" s="567">
        <v>215</v>
      </c>
      <c r="H2414" s="567">
        <v>2121</v>
      </c>
      <c r="O2414"/>
    </row>
    <row r="2415" spans="1:15" x14ac:dyDescent="0.2">
      <c r="A2415" s="567">
        <v>1312</v>
      </c>
      <c r="B2415" s="568" t="s">
        <v>1343</v>
      </c>
      <c r="C2415" s="568" t="s">
        <v>1344</v>
      </c>
      <c r="D2415" s="567">
        <v>3552</v>
      </c>
      <c r="E2415" s="567">
        <v>108</v>
      </c>
      <c r="F2415" s="567">
        <v>3</v>
      </c>
      <c r="G2415" s="567">
        <v>215</v>
      </c>
      <c r="H2415" s="567">
        <v>2121</v>
      </c>
      <c r="O2415"/>
    </row>
    <row r="2416" spans="1:15" x14ac:dyDescent="0.2">
      <c r="A2416" s="567">
        <v>1311</v>
      </c>
      <c r="B2416" s="568" t="s">
        <v>1343</v>
      </c>
      <c r="C2416" s="568" t="s">
        <v>1346</v>
      </c>
      <c r="D2416" s="567">
        <v>3551</v>
      </c>
      <c r="E2416" s="567">
        <v>108</v>
      </c>
      <c r="F2416" s="567">
        <v>3</v>
      </c>
      <c r="G2416" s="567">
        <v>215</v>
      </c>
      <c r="H2416" s="567">
        <v>2121</v>
      </c>
      <c r="O2416"/>
    </row>
    <row r="2417" spans="1:15" x14ac:dyDescent="0.2">
      <c r="A2417" s="567">
        <v>2453</v>
      </c>
      <c r="B2417" s="568" t="s">
        <v>2510</v>
      </c>
      <c r="C2417" s="568" t="s">
        <v>2509</v>
      </c>
      <c r="D2417" s="567">
        <v>7025</v>
      </c>
      <c r="E2417" s="567">
        <v>90</v>
      </c>
      <c r="F2417" s="567">
        <v>7</v>
      </c>
      <c r="G2417" s="567">
        <v>337</v>
      </c>
      <c r="H2417" s="567">
        <v>3180</v>
      </c>
      <c r="O2417"/>
    </row>
    <row r="2418" spans="1:15" x14ac:dyDescent="0.2">
      <c r="A2418" s="567">
        <v>2448</v>
      </c>
      <c r="B2418" s="568" t="s">
        <v>2510</v>
      </c>
      <c r="C2418" s="568" t="s">
        <v>2510</v>
      </c>
      <c r="D2418" s="567">
        <v>7020</v>
      </c>
      <c r="E2418" s="567">
        <v>90</v>
      </c>
      <c r="F2418" s="567">
        <v>7</v>
      </c>
      <c r="G2418" s="567">
        <v>337</v>
      </c>
      <c r="H2418" s="567">
        <v>3180</v>
      </c>
      <c r="O2418"/>
    </row>
    <row r="2419" spans="1:15" x14ac:dyDescent="0.2">
      <c r="A2419" s="567">
        <v>2449</v>
      </c>
      <c r="B2419" s="568" t="s">
        <v>2510</v>
      </c>
      <c r="C2419" s="568" t="s">
        <v>2529</v>
      </c>
      <c r="D2419" s="567">
        <v>7021</v>
      </c>
      <c r="E2419" s="567">
        <v>90</v>
      </c>
      <c r="F2419" s="567">
        <v>7</v>
      </c>
      <c r="G2419" s="567">
        <v>337</v>
      </c>
      <c r="H2419" s="567">
        <v>3180</v>
      </c>
      <c r="O2419"/>
    </row>
    <row r="2420" spans="1:15" x14ac:dyDescent="0.2">
      <c r="A2420" s="567">
        <v>2450</v>
      </c>
      <c r="B2420" s="568" t="s">
        <v>2510</v>
      </c>
      <c r="C2420" s="568" t="s">
        <v>2530</v>
      </c>
      <c r="D2420" s="567">
        <v>7022</v>
      </c>
      <c r="E2420" s="567">
        <v>90</v>
      </c>
      <c r="F2420" s="567">
        <v>7</v>
      </c>
      <c r="G2420" s="567">
        <v>337</v>
      </c>
      <c r="H2420" s="567">
        <v>3180</v>
      </c>
      <c r="O2420"/>
    </row>
    <row r="2421" spans="1:15" x14ac:dyDescent="0.2">
      <c r="A2421" s="567">
        <v>2451</v>
      </c>
      <c r="B2421" s="568" t="s">
        <v>2510</v>
      </c>
      <c r="C2421" s="568" t="s">
        <v>2531</v>
      </c>
      <c r="D2421" s="567">
        <v>7023</v>
      </c>
      <c r="E2421" s="567">
        <v>90</v>
      </c>
      <c r="F2421" s="567">
        <v>7</v>
      </c>
      <c r="G2421" s="567">
        <v>337</v>
      </c>
      <c r="H2421" s="567">
        <v>3180</v>
      </c>
      <c r="O2421"/>
    </row>
    <row r="2422" spans="1:15" x14ac:dyDescent="0.2">
      <c r="A2422" s="567">
        <v>2452</v>
      </c>
      <c r="B2422" s="568" t="s">
        <v>2510</v>
      </c>
      <c r="C2422" s="568" t="s">
        <v>1078</v>
      </c>
      <c r="D2422" s="567">
        <v>7024</v>
      </c>
      <c r="E2422" s="567">
        <v>90</v>
      </c>
      <c r="F2422" s="567">
        <v>7</v>
      </c>
      <c r="G2422" s="567">
        <v>337</v>
      </c>
      <c r="H2422" s="567">
        <v>3180</v>
      </c>
      <c r="O2422"/>
    </row>
    <row r="2423" spans="1:15" x14ac:dyDescent="0.2">
      <c r="A2423" s="567">
        <v>2643</v>
      </c>
      <c r="B2423" s="568" t="s">
        <v>2963</v>
      </c>
      <c r="C2423" s="568" t="s">
        <v>2963</v>
      </c>
      <c r="D2423" s="567">
        <v>7615</v>
      </c>
      <c r="E2423" s="567">
        <v>62</v>
      </c>
      <c r="F2423" s="567">
        <v>2</v>
      </c>
      <c r="G2423" s="567">
        <v>415</v>
      </c>
      <c r="H2423" s="567">
        <v>4131</v>
      </c>
      <c r="O2423"/>
    </row>
    <row r="2424" spans="1:15" x14ac:dyDescent="0.2">
      <c r="A2424" s="567">
        <v>3236</v>
      </c>
      <c r="B2424" s="568" t="s">
        <v>2843</v>
      </c>
      <c r="C2424" s="568" t="s">
        <v>2843</v>
      </c>
      <c r="D2424" s="567">
        <v>9370</v>
      </c>
      <c r="E2424" s="567">
        <v>67</v>
      </c>
      <c r="F2424" s="567">
        <v>11</v>
      </c>
      <c r="G2424" s="567">
        <v>436</v>
      </c>
      <c r="H2424" s="567">
        <v>4120</v>
      </c>
      <c r="O2424"/>
    </row>
    <row r="2425" spans="1:15" x14ac:dyDescent="0.2">
      <c r="A2425" s="567">
        <v>2996</v>
      </c>
      <c r="B2425" s="568" t="s">
        <v>2104</v>
      </c>
      <c r="C2425" s="568" t="s">
        <v>2104</v>
      </c>
      <c r="D2425" s="567">
        <v>8630</v>
      </c>
      <c r="E2425" s="567">
        <v>97</v>
      </c>
      <c r="F2425" s="567">
        <v>11</v>
      </c>
      <c r="G2425" s="567">
        <v>426</v>
      </c>
      <c r="H2425" s="567">
        <v>4110</v>
      </c>
      <c r="O2425"/>
    </row>
    <row r="2426" spans="1:15" x14ac:dyDescent="0.2">
      <c r="A2426" s="567">
        <v>2997</v>
      </c>
      <c r="B2426" s="568" t="s">
        <v>2104</v>
      </c>
      <c r="C2426" s="568" t="s">
        <v>2689</v>
      </c>
      <c r="D2426" s="567">
        <v>8631</v>
      </c>
      <c r="E2426" s="567">
        <v>97</v>
      </c>
      <c r="F2426" s="567">
        <v>11</v>
      </c>
      <c r="G2426" s="567">
        <v>426</v>
      </c>
      <c r="H2426" s="567">
        <v>4110</v>
      </c>
      <c r="O2426"/>
    </row>
    <row r="2427" spans="1:15" x14ac:dyDescent="0.2">
      <c r="A2427" s="567">
        <v>2998</v>
      </c>
      <c r="B2427" s="568" t="s">
        <v>2104</v>
      </c>
      <c r="C2427" s="568" t="s">
        <v>2690</v>
      </c>
      <c r="D2427" s="567">
        <v>8632</v>
      </c>
      <c r="E2427" s="567">
        <v>97</v>
      </c>
      <c r="F2427" s="567">
        <v>11</v>
      </c>
      <c r="G2427" s="567">
        <v>426</v>
      </c>
      <c r="H2427" s="567">
        <v>4110</v>
      </c>
      <c r="O2427"/>
    </row>
    <row r="2428" spans="1:15" x14ac:dyDescent="0.2">
      <c r="A2428" s="567">
        <v>2999</v>
      </c>
      <c r="B2428" s="568" t="s">
        <v>2104</v>
      </c>
      <c r="C2428" s="568" t="s">
        <v>1773</v>
      </c>
      <c r="D2428" s="567">
        <v>8633</v>
      </c>
      <c r="E2428" s="567">
        <v>97</v>
      </c>
      <c r="F2428" s="567">
        <v>11</v>
      </c>
      <c r="G2428" s="567">
        <v>426</v>
      </c>
      <c r="H2428" s="567">
        <v>4110</v>
      </c>
      <c r="O2428"/>
    </row>
    <row r="2429" spans="1:15" x14ac:dyDescent="0.2">
      <c r="A2429" s="567">
        <v>3000</v>
      </c>
      <c r="B2429" s="568" t="s">
        <v>2104</v>
      </c>
      <c r="C2429" s="568" t="s">
        <v>2413</v>
      </c>
      <c r="D2429" s="567">
        <v>8634</v>
      </c>
      <c r="E2429" s="567">
        <v>97</v>
      </c>
      <c r="F2429" s="567">
        <v>11</v>
      </c>
      <c r="G2429" s="567">
        <v>426</v>
      </c>
      <c r="H2429" s="567">
        <v>4110</v>
      </c>
      <c r="O2429"/>
    </row>
    <row r="2430" spans="1:15" x14ac:dyDescent="0.2">
      <c r="A2430" s="567">
        <v>3003</v>
      </c>
      <c r="B2430" s="568" t="s">
        <v>2104</v>
      </c>
      <c r="C2430" s="568" t="s">
        <v>2707</v>
      </c>
      <c r="D2430" s="567">
        <v>8637</v>
      </c>
      <c r="E2430" s="567">
        <v>97</v>
      </c>
      <c r="F2430" s="567">
        <v>11</v>
      </c>
      <c r="G2430" s="567">
        <v>426</v>
      </c>
      <c r="H2430" s="567">
        <v>4110</v>
      </c>
      <c r="O2430"/>
    </row>
    <row r="2431" spans="1:15" x14ac:dyDescent="0.2">
      <c r="A2431" s="567">
        <v>3001</v>
      </c>
      <c r="B2431" s="568" t="s">
        <v>2104</v>
      </c>
      <c r="C2431" s="568" t="s">
        <v>2709</v>
      </c>
      <c r="D2431" s="567">
        <v>8635</v>
      </c>
      <c r="E2431" s="567">
        <v>97</v>
      </c>
      <c r="F2431" s="567">
        <v>11</v>
      </c>
      <c r="G2431" s="567">
        <v>426</v>
      </c>
      <c r="H2431" s="567">
        <v>4110</v>
      </c>
      <c r="O2431"/>
    </row>
    <row r="2432" spans="1:15" x14ac:dyDescent="0.2">
      <c r="A2432" s="567">
        <v>3002</v>
      </c>
      <c r="B2432" s="568" t="s">
        <v>2104</v>
      </c>
      <c r="C2432" s="568" t="s">
        <v>433</v>
      </c>
      <c r="D2432" s="567">
        <v>8636</v>
      </c>
      <c r="E2432" s="567">
        <v>97</v>
      </c>
      <c r="F2432" s="567">
        <v>11</v>
      </c>
      <c r="G2432" s="567">
        <v>426</v>
      </c>
      <c r="H2432" s="567">
        <v>4110</v>
      </c>
      <c r="O2432"/>
    </row>
    <row r="2433" spans="1:15" x14ac:dyDescent="0.2">
      <c r="A2433" s="567">
        <v>1829</v>
      </c>
      <c r="B2433" s="568" t="s">
        <v>1857</v>
      </c>
      <c r="C2433" s="568" t="s">
        <v>1857</v>
      </c>
      <c r="D2433" s="567">
        <v>5080</v>
      </c>
      <c r="E2433" s="567">
        <v>37</v>
      </c>
      <c r="F2433" s="567">
        <v>3</v>
      </c>
      <c r="G2433" s="567">
        <v>316</v>
      </c>
      <c r="H2433" s="567">
        <v>3110</v>
      </c>
      <c r="O2433"/>
    </row>
    <row r="2434" spans="1:15" x14ac:dyDescent="0.2">
      <c r="A2434" s="567">
        <v>2300</v>
      </c>
      <c r="B2434" s="568" t="s">
        <v>2352</v>
      </c>
      <c r="C2434" s="568" t="s">
        <v>2351</v>
      </c>
      <c r="D2434" s="567">
        <v>6630</v>
      </c>
      <c r="E2434" s="567">
        <v>100</v>
      </c>
      <c r="F2434" s="567">
        <v>4</v>
      </c>
      <c r="G2434" s="567">
        <v>335</v>
      </c>
      <c r="H2434" s="567">
        <v>3151</v>
      </c>
      <c r="O2434"/>
    </row>
    <row r="2435" spans="1:15" x14ac:dyDescent="0.2">
      <c r="A2435" s="567">
        <v>2301</v>
      </c>
      <c r="B2435" s="568" t="s">
        <v>2352</v>
      </c>
      <c r="C2435" s="568" t="s">
        <v>2353</v>
      </c>
      <c r="D2435" s="567">
        <v>6631</v>
      </c>
      <c r="E2435" s="567">
        <v>100</v>
      </c>
      <c r="F2435" s="567">
        <v>4</v>
      </c>
      <c r="G2435" s="567">
        <v>335</v>
      </c>
      <c r="H2435" s="567">
        <v>3151</v>
      </c>
      <c r="O2435"/>
    </row>
    <row r="2436" spans="1:15" x14ac:dyDescent="0.2">
      <c r="A2436" s="567">
        <v>935</v>
      </c>
      <c r="B2436" s="568" t="s">
        <v>143</v>
      </c>
      <c r="C2436" s="568" t="s">
        <v>142</v>
      </c>
      <c r="D2436" s="567">
        <v>2425</v>
      </c>
      <c r="E2436" s="567">
        <v>87</v>
      </c>
      <c r="F2436" s="567">
        <v>13</v>
      </c>
      <c r="G2436" s="567">
        <v>136</v>
      </c>
      <c r="H2436" s="567">
        <v>1101</v>
      </c>
      <c r="O2436"/>
    </row>
    <row r="2437" spans="1:15" x14ac:dyDescent="0.2">
      <c r="A2437" s="567">
        <v>937</v>
      </c>
      <c r="B2437" s="568" t="s">
        <v>143</v>
      </c>
      <c r="C2437" s="568" t="s">
        <v>145</v>
      </c>
      <c r="D2437" s="567">
        <v>2427</v>
      </c>
      <c r="E2437" s="567">
        <v>87</v>
      </c>
      <c r="F2437" s="567">
        <v>13</v>
      </c>
      <c r="G2437" s="567">
        <v>136</v>
      </c>
      <c r="H2437" s="567">
        <v>1101</v>
      </c>
      <c r="O2437"/>
    </row>
    <row r="2438" spans="1:15" x14ac:dyDescent="0.2">
      <c r="A2438" s="567">
        <v>936</v>
      </c>
      <c r="B2438" s="568" t="s">
        <v>143</v>
      </c>
      <c r="C2438" s="568" t="s">
        <v>156</v>
      </c>
      <c r="D2438" s="567">
        <v>2426</v>
      </c>
      <c r="E2438" s="567">
        <v>87</v>
      </c>
      <c r="F2438" s="567">
        <v>13</v>
      </c>
      <c r="G2438" s="567">
        <v>136</v>
      </c>
      <c r="H2438" s="567">
        <v>1101</v>
      </c>
      <c r="O2438"/>
    </row>
    <row r="2439" spans="1:15" x14ac:dyDescent="0.2">
      <c r="A2439" s="567">
        <v>2204</v>
      </c>
      <c r="B2439" s="568" t="s">
        <v>2421</v>
      </c>
      <c r="C2439" s="568" t="s">
        <v>824</v>
      </c>
      <c r="D2439" s="567">
        <v>6371</v>
      </c>
      <c r="E2439" s="567">
        <v>56</v>
      </c>
      <c r="F2439" s="567">
        <v>16</v>
      </c>
      <c r="G2439" s="567">
        <v>327</v>
      </c>
      <c r="H2439" s="567">
        <v>3170</v>
      </c>
      <c r="O2439"/>
    </row>
    <row r="2440" spans="1:15" x14ac:dyDescent="0.2">
      <c r="A2440" s="567">
        <v>2203</v>
      </c>
      <c r="B2440" s="568" t="s">
        <v>2421</v>
      </c>
      <c r="C2440" s="568" t="s">
        <v>1747</v>
      </c>
      <c r="D2440" s="567">
        <v>6370</v>
      </c>
      <c r="E2440" s="567">
        <v>56</v>
      </c>
      <c r="F2440" s="567">
        <v>16</v>
      </c>
      <c r="G2440" s="567">
        <v>327</v>
      </c>
      <c r="H2440" s="567">
        <v>3170</v>
      </c>
      <c r="O2440"/>
    </row>
    <row r="2441" spans="1:15" x14ac:dyDescent="0.2">
      <c r="A2441" s="567">
        <v>1787</v>
      </c>
      <c r="B2441" s="568" t="s">
        <v>2174</v>
      </c>
      <c r="C2441" s="568" t="s">
        <v>2174</v>
      </c>
      <c r="D2441" s="567">
        <v>4910</v>
      </c>
      <c r="E2441" s="567">
        <v>113</v>
      </c>
      <c r="F2441" s="567">
        <v>3</v>
      </c>
      <c r="G2441" s="567">
        <v>317</v>
      </c>
      <c r="H2441" s="567">
        <v>3140</v>
      </c>
      <c r="O2441"/>
    </row>
    <row r="2442" spans="1:15" x14ac:dyDescent="0.2">
      <c r="A2442" s="567">
        <v>1565</v>
      </c>
      <c r="B2442" s="568" t="s">
        <v>1231</v>
      </c>
      <c r="C2442" s="568" t="s">
        <v>1231</v>
      </c>
      <c r="D2442" s="567">
        <v>4295</v>
      </c>
      <c r="E2442" s="567">
        <v>60</v>
      </c>
      <c r="F2442" s="567">
        <v>17</v>
      </c>
      <c r="G2442" s="567">
        <v>235</v>
      </c>
      <c r="H2442" s="567">
        <v>2160</v>
      </c>
      <c r="O2442"/>
    </row>
    <row r="2443" spans="1:15" x14ac:dyDescent="0.2">
      <c r="A2443" s="567">
        <v>349</v>
      </c>
      <c r="B2443" s="568" t="s">
        <v>566</v>
      </c>
      <c r="C2443" s="568" t="s">
        <v>566</v>
      </c>
      <c r="D2443" s="567">
        <v>610</v>
      </c>
      <c r="E2443" s="567">
        <v>84</v>
      </c>
      <c r="F2443" s="567">
        <v>21</v>
      </c>
      <c r="G2443" s="567">
        <v>125</v>
      </c>
      <c r="H2443" s="567">
        <v>1150</v>
      </c>
      <c r="O2443"/>
    </row>
    <row r="2444" spans="1:15" x14ac:dyDescent="0.2">
      <c r="A2444" s="567">
        <v>2663</v>
      </c>
      <c r="B2444" s="568" t="s">
        <v>2898</v>
      </c>
      <c r="C2444" s="568" t="s">
        <v>2324</v>
      </c>
      <c r="D2444" s="567">
        <v>7680</v>
      </c>
      <c r="E2444" s="567">
        <v>88</v>
      </c>
      <c r="F2444" s="567">
        <v>14</v>
      </c>
      <c r="G2444" s="567">
        <v>415</v>
      </c>
      <c r="H2444" s="567">
        <v>4131</v>
      </c>
      <c r="O2444"/>
    </row>
    <row r="2445" spans="1:15" x14ac:dyDescent="0.2">
      <c r="A2445" s="567">
        <v>2664</v>
      </c>
      <c r="B2445" s="568" t="s">
        <v>2898</v>
      </c>
      <c r="C2445" s="568" t="s">
        <v>2911</v>
      </c>
      <c r="D2445" s="567">
        <v>7681</v>
      </c>
      <c r="E2445" s="567">
        <v>88</v>
      </c>
      <c r="F2445" s="567">
        <v>14</v>
      </c>
      <c r="G2445" s="567">
        <v>415</v>
      </c>
      <c r="H2445" s="567">
        <v>4131</v>
      </c>
      <c r="O2445"/>
    </row>
    <row r="2446" spans="1:15" x14ac:dyDescent="0.2">
      <c r="A2446" s="567">
        <v>2665</v>
      </c>
      <c r="B2446" s="568" t="s">
        <v>2898</v>
      </c>
      <c r="C2446" s="568" t="s">
        <v>2912</v>
      </c>
      <c r="D2446" s="567">
        <v>7682</v>
      </c>
      <c r="E2446" s="567">
        <v>88</v>
      </c>
      <c r="F2446" s="567">
        <v>14</v>
      </c>
      <c r="G2446" s="567">
        <v>415</v>
      </c>
      <c r="H2446" s="567">
        <v>4131</v>
      </c>
      <c r="O2446"/>
    </row>
    <row r="2447" spans="1:15" x14ac:dyDescent="0.2">
      <c r="A2447" s="567">
        <v>885</v>
      </c>
      <c r="B2447" s="568" t="s">
        <v>105</v>
      </c>
      <c r="C2447" s="568" t="s">
        <v>105</v>
      </c>
      <c r="D2447" s="567">
        <v>2255</v>
      </c>
      <c r="E2447" s="567">
        <v>60</v>
      </c>
      <c r="F2447" s="567">
        <v>19</v>
      </c>
      <c r="G2447" s="567">
        <v>136</v>
      </c>
      <c r="H2447" s="567">
        <v>1101</v>
      </c>
      <c r="O2447"/>
    </row>
    <row r="2448" spans="1:15" x14ac:dyDescent="0.2">
      <c r="A2448" s="567">
        <v>1056</v>
      </c>
      <c r="B2448" s="568" t="s">
        <v>105</v>
      </c>
      <c r="C2448" s="568" t="s">
        <v>1550</v>
      </c>
      <c r="D2448" s="567">
        <v>2723</v>
      </c>
      <c r="E2448" s="567">
        <v>82</v>
      </c>
      <c r="F2448" s="567">
        <v>21</v>
      </c>
      <c r="G2448" s="567">
        <v>225</v>
      </c>
      <c r="H2448" s="567">
        <v>2140</v>
      </c>
      <c r="O2448"/>
    </row>
    <row r="2449" spans="1:15" x14ac:dyDescent="0.2">
      <c r="A2449" s="567">
        <v>1055</v>
      </c>
      <c r="B2449" s="568" t="s">
        <v>105</v>
      </c>
      <c r="C2449" s="568" t="s">
        <v>748</v>
      </c>
      <c r="D2449" s="567">
        <v>2722</v>
      </c>
      <c r="E2449" s="567">
        <v>82</v>
      </c>
      <c r="F2449" s="567">
        <v>21</v>
      </c>
      <c r="G2449" s="567">
        <v>225</v>
      </c>
      <c r="H2449" s="567">
        <v>2140</v>
      </c>
      <c r="O2449"/>
    </row>
    <row r="2450" spans="1:15" x14ac:dyDescent="0.2">
      <c r="A2450" s="567">
        <v>1053</v>
      </c>
      <c r="B2450" s="568" t="s">
        <v>105</v>
      </c>
      <c r="C2450" s="568" t="s">
        <v>105</v>
      </c>
      <c r="D2450" s="567">
        <v>2720</v>
      </c>
      <c r="E2450" s="567">
        <v>82</v>
      </c>
      <c r="F2450" s="567">
        <v>21</v>
      </c>
      <c r="G2450" s="567">
        <v>225</v>
      </c>
      <c r="H2450" s="567">
        <v>2140</v>
      </c>
      <c r="O2450"/>
    </row>
    <row r="2451" spans="1:15" x14ac:dyDescent="0.2">
      <c r="A2451" s="567">
        <v>1054</v>
      </c>
      <c r="B2451" s="568" t="s">
        <v>105</v>
      </c>
      <c r="C2451" s="568" t="s">
        <v>1564</v>
      </c>
      <c r="D2451" s="567">
        <v>2721</v>
      </c>
      <c r="E2451" s="567">
        <v>82</v>
      </c>
      <c r="F2451" s="567">
        <v>21</v>
      </c>
      <c r="G2451" s="567">
        <v>225</v>
      </c>
      <c r="H2451" s="567">
        <v>2140</v>
      </c>
      <c r="O2451"/>
    </row>
    <row r="2452" spans="1:15" x14ac:dyDescent="0.2">
      <c r="A2452" s="567">
        <v>2775</v>
      </c>
      <c r="B2452" s="568" t="s">
        <v>2654</v>
      </c>
      <c r="C2452" s="568" t="s">
        <v>2653</v>
      </c>
      <c r="D2452" s="567">
        <v>7956</v>
      </c>
      <c r="E2452" s="567">
        <v>54</v>
      </c>
      <c r="F2452" s="567">
        <v>17</v>
      </c>
      <c r="G2452" s="567">
        <v>417</v>
      </c>
      <c r="H2452" s="567">
        <v>4100</v>
      </c>
      <c r="O2452"/>
    </row>
    <row r="2453" spans="1:15" x14ac:dyDescent="0.2">
      <c r="A2453" s="567">
        <v>2774</v>
      </c>
      <c r="B2453" s="568" t="s">
        <v>2654</v>
      </c>
      <c r="C2453" s="568" t="s">
        <v>2655</v>
      </c>
      <c r="D2453" s="567">
        <v>7955</v>
      </c>
      <c r="E2453" s="567">
        <v>54</v>
      </c>
      <c r="F2453" s="567">
        <v>17</v>
      </c>
      <c r="G2453" s="567">
        <v>417</v>
      </c>
      <c r="H2453" s="567">
        <v>4100</v>
      </c>
      <c r="O2453"/>
    </row>
    <row r="2454" spans="1:15" x14ac:dyDescent="0.2">
      <c r="A2454" s="567">
        <v>2773</v>
      </c>
      <c r="B2454" s="568" t="s">
        <v>2654</v>
      </c>
      <c r="C2454" s="568" t="s">
        <v>2656</v>
      </c>
      <c r="D2454" s="567">
        <v>7954</v>
      </c>
      <c r="E2454" s="567">
        <v>54</v>
      </c>
      <c r="F2454" s="567">
        <v>17</v>
      </c>
      <c r="G2454" s="567">
        <v>417</v>
      </c>
      <c r="H2454" s="567">
        <v>4100</v>
      </c>
      <c r="O2454"/>
    </row>
    <row r="2455" spans="1:15" x14ac:dyDescent="0.2">
      <c r="A2455" s="567">
        <v>2772</v>
      </c>
      <c r="B2455" s="568" t="s">
        <v>2654</v>
      </c>
      <c r="C2455" s="568" t="s">
        <v>2657</v>
      </c>
      <c r="D2455" s="567">
        <v>7953</v>
      </c>
      <c r="E2455" s="567">
        <v>54</v>
      </c>
      <c r="F2455" s="567">
        <v>17</v>
      </c>
      <c r="G2455" s="567">
        <v>417</v>
      </c>
      <c r="H2455" s="567">
        <v>4100</v>
      </c>
      <c r="O2455"/>
    </row>
    <row r="2456" spans="1:15" x14ac:dyDescent="0.2">
      <c r="A2456" s="567">
        <v>2771</v>
      </c>
      <c r="B2456" s="568" t="s">
        <v>2654</v>
      </c>
      <c r="C2456" s="568" t="s">
        <v>2658</v>
      </c>
      <c r="D2456" s="567">
        <v>7952</v>
      </c>
      <c r="E2456" s="567">
        <v>54</v>
      </c>
      <c r="F2456" s="567">
        <v>17</v>
      </c>
      <c r="G2456" s="567">
        <v>417</v>
      </c>
      <c r="H2456" s="567">
        <v>4100</v>
      </c>
      <c r="O2456"/>
    </row>
    <row r="2457" spans="1:15" x14ac:dyDescent="0.2">
      <c r="A2457" s="567">
        <v>2770</v>
      </c>
      <c r="B2457" s="568" t="s">
        <v>2654</v>
      </c>
      <c r="C2457" s="568" t="s">
        <v>2659</v>
      </c>
      <c r="D2457" s="567">
        <v>7951</v>
      </c>
      <c r="E2457" s="567">
        <v>54</v>
      </c>
      <c r="F2457" s="567">
        <v>17</v>
      </c>
      <c r="G2457" s="567">
        <v>417</v>
      </c>
      <c r="H2457" s="567">
        <v>4100</v>
      </c>
      <c r="O2457"/>
    </row>
    <row r="2458" spans="1:15" x14ac:dyDescent="0.2">
      <c r="A2458" s="567">
        <v>2769</v>
      </c>
      <c r="B2458" s="568" t="s">
        <v>2654</v>
      </c>
      <c r="C2458" s="568" t="s">
        <v>2654</v>
      </c>
      <c r="D2458" s="567">
        <v>7950</v>
      </c>
      <c r="E2458" s="567">
        <v>54</v>
      </c>
      <c r="F2458" s="567">
        <v>17</v>
      </c>
      <c r="G2458" s="567">
        <v>417</v>
      </c>
      <c r="H2458" s="567">
        <v>4100</v>
      </c>
      <c r="O2458"/>
    </row>
    <row r="2459" spans="1:15" x14ac:dyDescent="0.2">
      <c r="A2459" s="567">
        <v>325</v>
      </c>
      <c r="B2459" s="568" t="s">
        <v>1073</v>
      </c>
      <c r="C2459" s="568" t="s">
        <v>1072</v>
      </c>
      <c r="D2459" s="567">
        <v>550</v>
      </c>
      <c r="E2459" s="567">
        <v>100</v>
      </c>
      <c r="F2459" s="567">
        <v>19</v>
      </c>
      <c r="G2459" s="567">
        <v>127</v>
      </c>
      <c r="H2459" s="567">
        <v>1200</v>
      </c>
      <c r="O2459"/>
    </row>
    <row r="2460" spans="1:15" x14ac:dyDescent="0.2">
      <c r="A2460" s="567">
        <v>326</v>
      </c>
      <c r="B2460" s="568" t="s">
        <v>1073</v>
      </c>
      <c r="C2460" s="568" t="s">
        <v>1074</v>
      </c>
      <c r="D2460" s="567">
        <v>551</v>
      </c>
      <c r="E2460" s="567">
        <v>100</v>
      </c>
      <c r="F2460" s="567">
        <v>19</v>
      </c>
      <c r="G2460" s="567">
        <v>127</v>
      </c>
      <c r="H2460" s="567">
        <v>1200</v>
      </c>
      <c r="O2460"/>
    </row>
    <row r="2461" spans="1:15" x14ac:dyDescent="0.2">
      <c r="A2461" s="567">
        <v>327</v>
      </c>
      <c r="B2461" s="568" t="s">
        <v>1073</v>
      </c>
      <c r="C2461" s="568" t="s">
        <v>1075</v>
      </c>
      <c r="D2461" s="567">
        <v>552</v>
      </c>
      <c r="E2461" s="567">
        <v>100</v>
      </c>
      <c r="F2461" s="567">
        <v>19</v>
      </c>
      <c r="G2461" s="567">
        <v>127</v>
      </c>
      <c r="H2461" s="567">
        <v>1200</v>
      </c>
      <c r="O2461"/>
    </row>
    <row r="2462" spans="1:15" x14ac:dyDescent="0.2">
      <c r="A2462" s="567">
        <v>263</v>
      </c>
      <c r="B2462" s="568" t="s">
        <v>1046</v>
      </c>
      <c r="C2462" s="568" t="s">
        <v>1045</v>
      </c>
      <c r="D2462" s="567">
        <v>424</v>
      </c>
      <c r="E2462" s="567">
        <v>71</v>
      </c>
      <c r="F2462" s="567">
        <v>20</v>
      </c>
      <c r="G2462" s="567">
        <v>127</v>
      </c>
      <c r="H2462" s="567">
        <v>1200</v>
      </c>
      <c r="O2462"/>
    </row>
    <row r="2463" spans="1:15" x14ac:dyDescent="0.2">
      <c r="A2463" s="567">
        <v>261</v>
      </c>
      <c r="B2463" s="568" t="s">
        <v>1046</v>
      </c>
      <c r="C2463" s="568" t="s">
        <v>1047</v>
      </c>
      <c r="D2463" s="567">
        <v>422</v>
      </c>
      <c r="E2463" s="567">
        <v>71</v>
      </c>
      <c r="F2463" s="567">
        <v>20</v>
      </c>
      <c r="G2463" s="567">
        <v>127</v>
      </c>
      <c r="H2463" s="567">
        <v>1200</v>
      </c>
      <c r="O2463"/>
    </row>
    <row r="2464" spans="1:15" x14ac:dyDescent="0.2">
      <c r="A2464" s="567">
        <v>260</v>
      </c>
      <c r="B2464" s="568" t="s">
        <v>1046</v>
      </c>
      <c r="C2464" s="568" t="s">
        <v>1048</v>
      </c>
      <c r="D2464" s="567">
        <v>421</v>
      </c>
      <c r="E2464" s="567">
        <v>71</v>
      </c>
      <c r="F2464" s="567">
        <v>20</v>
      </c>
      <c r="G2464" s="567">
        <v>127</v>
      </c>
      <c r="H2464" s="567">
        <v>1200</v>
      </c>
      <c r="O2464"/>
    </row>
    <row r="2465" spans="1:15" x14ac:dyDescent="0.2">
      <c r="A2465" s="567">
        <v>259</v>
      </c>
      <c r="B2465" s="568" t="s">
        <v>1046</v>
      </c>
      <c r="C2465" s="568" t="s">
        <v>400</v>
      </c>
      <c r="D2465" s="567">
        <v>420</v>
      </c>
      <c r="E2465" s="567">
        <v>71</v>
      </c>
      <c r="F2465" s="567">
        <v>20</v>
      </c>
      <c r="G2465" s="567">
        <v>127</v>
      </c>
      <c r="H2465" s="567">
        <v>1200</v>
      </c>
      <c r="O2465"/>
    </row>
    <row r="2466" spans="1:15" x14ac:dyDescent="0.2">
      <c r="A2466" s="567">
        <v>262</v>
      </c>
      <c r="B2466" s="568" t="s">
        <v>1046</v>
      </c>
      <c r="C2466" s="568" t="s">
        <v>430</v>
      </c>
      <c r="D2466" s="567">
        <v>423</v>
      </c>
      <c r="E2466" s="567">
        <v>71</v>
      </c>
      <c r="F2466" s="567">
        <v>20</v>
      </c>
      <c r="G2466" s="567">
        <v>127</v>
      </c>
      <c r="H2466" s="567">
        <v>1200</v>
      </c>
      <c r="O2466"/>
    </row>
    <row r="2467" spans="1:15" x14ac:dyDescent="0.2">
      <c r="A2467" s="567">
        <v>3087</v>
      </c>
      <c r="B2467" s="568" t="s">
        <v>2754</v>
      </c>
      <c r="C2467" s="568" t="s">
        <v>400</v>
      </c>
      <c r="D2467" s="567">
        <v>8940</v>
      </c>
      <c r="E2467" s="567">
        <v>100</v>
      </c>
      <c r="F2467" s="567">
        <v>11</v>
      </c>
      <c r="G2467" s="567">
        <v>426</v>
      </c>
      <c r="H2467" s="567">
        <v>4110</v>
      </c>
      <c r="O2467"/>
    </row>
    <row r="2468" spans="1:15" x14ac:dyDescent="0.2">
      <c r="A2468" s="567">
        <v>3088</v>
      </c>
      <c r="B2468" s="568" t="s">
        <v>2754</v>
      </c>
      <c r="C2468" s="568" t="s">
        <v>46</v>
      </c>
      <c r="D2468" s="567">
        <v>8941</v>
      </c>
      <c r="E2468" s="567">
        <v>100</v>
      </c>
      <c r="F2468" s="567">
        <v>11</v>
      </c>
      <c r="G2468" s="567">
        <v>426</v>
      </c>
      <c r="H2468" s="567">
        <v>4110</v>
      </c>
      <c r="O2468"/>
    </row>
    <row r="2469" spans="1:15" x14ac:dyDescent="0.2">
      <c r="A2469" s="567">
        <v>3089</v>
      </c>
      <c r="B2469" s="568" t="s">
        <v>2754</v>
      </c>
      <c r="C2469" s="568" t="s">
        <v>676</v>
      </c>
      <c r="D2469" s="567">
        <v>8942</v>
      </c>
      <c r="E2469" s="567">
        <v>100</v>
      </c>
      <c r="F2469" s="567">
        <v>11</v>
      </c>
      <c r="G2469" s="567">
        <v>426</v>
      </c>
      <c r="H2469" s="567">
        <v>4110</v>
      </c>
      <c r="O2469"/>
    </row>
    <row r="2470" spans="1:15" x14ac:dyDescent="0.2">
      <c r="A2470" s="567">
        <v>2945</v>
      </c>
      <c r="B2470" s="568" t="s">
        <v>3271</v>
      </c>
      <c r="C2470" s="568" t="s">
        <v>3271</v>
      </c>
      <c r="D2470" s="567">
        <v>8485</v>
      </c>
      <c r="E2470" s="567">
        <v>104</v>
      </c>
      <c r="F2470" s="567">
        <v>12</v>
      </c>
      <c r="G2470" s="567">
        <v>425</v>
      </c>
      <c r="H2470" s="567">
        <v>4170</v>
      </c>
      <c r="O2470"/>
    </row>
    <row r="2471" spans="1:15" x14ac:dyDescent="0.2">
      <c r="A2471" s="567">
        <v>2601</v>
      </c>
      <c r="B2471" s="568" t="s">
        <v>2966</v>
      </c>
      <c r="C2471" s="568" t="s">
        <v>2965</v>
      </c>
      <c r="D2471" s="567">
        <v>7481</v>
      </c>
      <c r="E2471" s="567">
        <v>36</v>
      </c>
      <c r="F2471" s="567">
        <v>2</v>
      </c>
      <c r="G2471" s="567">
        <v>416</v>
      </c>
      <c r="H2471" s="567">
        <v>4140</v>
      </c>
      <c r="O2471"/>
    </row>
    <row r="2472" spans="1:15" x14ac:dyDescent="0.2">
      <c r="A2472" s="567">
        <v>2603</v>
      </c>
      <c r="B2472" s="568" t="s">
        <v>2966</v>
      </c>
      <c r="C2472" s="568" t="s">
        <v>488</v>
      </c>
      <c r="D2472" s="567">
        <v>7483</v>
      </c>
      <c r="E2472" s="567">
        <v>36</v>
      </c>
      <c r="F2472" s="567">
        <v>2</v>
      </c>
      <c r="G2472" s="567">
        <v>416</v>
      </c>
      <c r="H2472" s="567">
        <v>4140</v>
      </c>
      <c r="O2472"/>
    </row>
    <row r="2473" spans="1:15" x14ac:dyDescent="0.2">
      <c r="A2473" s="567">
        <v>2600</v>
      </c>
      <c r="B2473" s="568" t="s">
        <v>2966</v>
      </c>
      <c r="C2473" s="568" t="s">
        <v>2973</v>
      </c>
      <c r="D2473" s="567">
        <v>7480</v>
      </c>
      <c r="E2473" s="567">
        <v>36</v>
      </c>
      <c r="F2473" s="567">
        <v>2</v>
      </c>
      <c r="G2473" s="567">
        <v>416</v>
      </c>
      <c r="H2473" s="567">
        <v>4140</v>
      </c>
      <c r="O2473"/>
    </row>
    <row r="2474" spans="1:15" x14ac:dyDescent="0.2">
      <c r="A2474" s="567">
        <v>2602</v>
      </c>
      <c r="B2474" s="568" t="s">
        <v>2966</v>
      </c>
      <c r="C2474" s="568" t="s">
        <v>912</v>
      </c>
      <c r="D2474" s="567">
        <v>7482</v>
      </c>
      <c r="E2474" s="567">
        <v>36</v>
      </c>
      <c r="F2474" s="567">
        <v>2</v>
      </c>
      <c r="G2474" s="567">
        <v>416</v>
      </c>
      <c r="H2474" s="567">
        <v>4140</v>
      </c>
      <c r="O2474"/>
    </row>
    <row r="2475" spans="1:15" x14ac:dyDescent="0.2">
      <c r="A2475" s="567">
        <v>2614</v>
      </c>
      <c r="B2475" s="568" t="s">
        <v>2966</v>
      </c>
      <c r="C2475" s="568" t="s">
        <v>2984</v>
      </c>
      <c r="D2475" s="567">
        <v>7494</v>
      </c>
      <c r="E2475" s="567">
        <v>36</v>
      </c>
      <c r="F2475" s="567">
        <v>2</v>
      </c>
      <c r="G2475" s="567">
        <v>416</v>
      </c>
      <c r="H2475" s="567">
        <v>4140</v>
      </c>
      <c r="O2475"/>
    </row>
    <row r="2476" spans="1:15" x14ac:dyDescent="0.2">
      <c r="A2476" s="567">
        <v>2604</v>
      </c>
      <c r="B2476" s="568" t="s">
        <v>2966</v>
      </c>
      <c r="C2476" s="568" t="s">
        <v>2986</v>
      </c>
      <c r="D2476" s="567">
        <v>7484</v>
      </c>
      <c r="E2476" s="567">
        <v>36</v>
      </c>
      <c r="F2476" s="567">
        <v>2</v>
      </c>
      <c r="G2476" s="567">
        <v>416</v>
      </c>
      <c r="H2476" s="567">
        <v>4140</v>
      </c>
      <c r="O2476"/>
    </row>
    <row r="2477" spans="1:15" x14ac:dyDescent="0.2">
      <c r="A2477" s="567">
        <v>2612</v>
      </c>
      <c r="B2477" s="568" t="s">
        <v>2966</v>
      </c>
      <c r="C2477" s="568" t="s">
        <v>924</v>
      </c>
      <c r="D2477" s="567">
        <v>7492</v>
      </c>
      <c r="E2477" s="567">
        <v>36</v>
      </c>
      <c r="F2477" s="567">
        <v>2</v>
      </c>
      <c r="G2477" s="567">
        <v>416</v>
      </c>
      <c r="H2477" s="567">
        <v>4140</v>
      </c>
      <c r="O2477"/>
    </row>
    <row r="2478" spans="1:15" x14ac:dyDescent="0.2">
      <c r="A2478" s="567">
        <v>2605</v>
      </c>
      <c r="B2478" s="568" t="s">
        <v>2966</v>
      </c>
      <c r="C2478" s="568" t="s">
        <v>3005</v>
      </c>
      <c r="D2478" s="567">
        <v>7485</v>
      </c>
      <c r="E2478" s="567">
        <v>36</v>
      </c>
      <c r="F2478" s="567">
        <v>2</v>
      </c>
      <c r="G2478" s="567">
        <v>416</v>
      </c>
      <c r="H2478" s="567">
        <v>4140</v>
      </c>
      <c r="O2478"/>
    </row>
    <row r="2479" spans="1:15" x14ac:dyDescent="0.2">
      <c r="A2479" s="567">
        <v>2617</v>
      </c>
      <c r="B2479" s="568" t="s">
        <v>2966</v>
      </c>
      <c r="C2479" s="568" t="s">
        <v>2434</v>
      </c>
      <c r="D2479" s="567">
        <v>7497</v>
      </c>
      <c r="E2479" s="567">
        <v>36</v>
      </c>
      <c r="F2479" s="567">
        <v>2</v>
      </c>
      <c r="G2479" s="567">
        <v>416</v>
      </c>
      <c r="H2479" s="567">
        <v>4140</v>
      </c>
      <c r="O2479"/>
    </row>
    <row r="2480" spans="1:15" x14ac:dyDescent="0.2">
      <c r="A2480" s="567">
        <v>2616</v>
      </c>
      <c r="B2480" s="568" t="s">
        <v>2966</v>
      </c>
      <c r="C2480" s="568" t="s">
        <v>3010</v>
      </c>
      <c r="D2480" s="567">
        <v>7496</v>
      </c>
      <c r="E2480" s="567">
        <v>36</v>
      </c>
      <c r="F2480" s="567">
        <v>2</v>
      </c>
      <c r="G2480" s="567">
        <v>416</v>
      </c>
      <c r="H2480" s="567">
        <v>4140</v>
      </c>
      <c r="O2480"/>
    </row>
    <row r="2481" spans="1:15" x14ac:dyDescent="0.2">
      <c r="A2481" s="567">
        <v>2615</v>
      </c>
      <c r="B2481" s="568" t="s">
        <v>2966</v>
      </c>
      <c r="C2481" s="568" t="s">
        <v>126</v>
      </c>
      <c r="D2481" s="567">
        <v>7495</v>
      </c>
      <c r="E2481" s="567">
        <v>36</v>
      </c>
      <c r="F2481" s="567">
        <v>2</v>
      </c>
      <c r="G2481" s="567">
        <v>416</v>
      </c>
      <c r="H2481" s="567">
        <v>4140</v>
      </c>
      <c r="O2481"/>
    </row>
    <row r="2482" spans="1:15" x14ac:dyDescent="0.2">
      <c r="A2482" s="567">
        <v>2613</v>
      </c>
      <c r="B2482" s="568" t="s">
        <v>2966</v>
      </c>
      <c r="C2482" s="568" t="s">
        <v>3011</v>
      </c>
      <c r="D2482" s="567">
        <v>7493</v>
      </c>
      <c r="E2482" s="567">
        <v>36</v>
      </c>
      <c r="F2482" s="567">
        <v>2</v>
      </c>
      <c r="G2482" s="567">
        <v>416</v>
      </c>
      <c r="H2482" s="567">
        <v>4140</v>
      </c>
      <c r="O2482"/>
    </row>
    <row r="2483" spans="1:15" x14ac:dyDescent="0.2">
      <c r="A2483" s="567">
        <v>2611</v>
      </c>
      <c r="B2483" s="568" t="s">
        <v>2966</v>
      </c>
      <c r="C2483" s="568" t="s">
        <v>3012</v>
      </c>
      <c r="D2483" s="567">
        <v>7491</v>
      </c>
      <c r="E2483" s="567">
        <v>36</v>
      </c>
      <c r="F2483" s="567">
        <v>2</v>
      </c>
      <c r="G2483" s="567">
        <v>416</v>
      </c>
      <c r="H2483" s="567">
        <v>4140</v>
      </c>
      <c r="O2483"/>
    </row>
    <row r="2484" spans="1:15" x14ac:dyDescent="0.2">
      <c r="A2484" s="567">
        <v>2610</v>
      </c>
      <c r="B2484" s="568" t="s">
        <v>2966</v>
      </c>
      <c r="C2484" s="568" t="s">
        <v>3013</v>
      </c>
      <c r="D2484" s="567">
        <v>7490</v>
      </c>
      <c r="E2484" s="567">
        <v>36</v>
      </c>
      <c r="F2484" s="567">
        <v>2</v>
      </c>
      <c r="G2484" s="567">
        <v>416</v>
      </c>
      <c r="H2484" s="567">
        <v>4140</v>
      </c>
      <c r="O2484"/>
    </row>
    <row r="2485" spans="1:15" x14ac:dyDescent="0.2">
      <c r="A2485" s="567">
        <v>2609</v>
      </c>
      <c r="B2485" s="568" t="s">
        <v>2966</v>
      </c>
      <c r="C2485" s="568" t="s">
        <v>3014</v>
      </c>
      <c r="D2485" s="567">
        <v>7489</v>
      </c>
      <c r="E2485" s="567">
        <v>36</v>
      </c>
      <c r="F2485" s="567">
        <v>2</v>
      </c>
      <c r="G2485" s="567">
        <v>416</v>
      </c>
      <c r="H2485" s="567">
        <v>4140</v>
      </c>
      <c r="O2485"/>
    </row>
    <row r="2486" spans="1:15" x14ac:dyDescent="0.2">
      <c r="A2486" s="567">
        <v>2608</v>
      </c>
      <c r="B2486" s="568" t="s">
        <v>2966</v>
      </c>
      <c r="C2486" s="568" t="s">
        <v>3015</v>
      </c>
      <c r="D2486" s="567">
        <v>7488</v>
      </c>
      <c r="E2486" s="567">
        <v>36</v>
      </c>
      <c r="F2486" s="567">
        <v>2</v>
      </c>
      <c r="G2486" s="567">
        <v>416</v>
      </c>
      <c r="H2486" s="567">
        <v>4140</v>
      </c>
      <c r="O2486"/>
    </row>
    <row r="2487" spans="1:15" x14ac:dyDescent="0.2">
      <c r="A2487" s="567">
        <v>2607</v>
      </c>
      <c r="B2487" s="568" t="s">
        <v>2966</v>
      </c>
      <c r="C2487" s="568" t="s">
        <v>3016</v>
      </c>
      <c r="D2487" s="567">
        <v>7487</v>
      </c>
      <c r="E2487" s="567">
        <v>36</v>
      </c>
      <c r="F2487" s="567">
        <v>2</v>
      </c>
      <c r="G2487" s="567">
        <v>416</v>
      </c>
      <c r="H2487" s="567">
        <v>4140</v>
      </c>
      <c r="O2487"/>
    </row>
    <row r="2488" spans="1:15" x14ac:dyDescent="0.2">
      <c r="A2488" s="567">
        <v>2606</v>
      </c>
      <c r="B2488" s="568" t="s">
        <v>2966</v>
      </c>
      <c r="C2488" s="568" t="s">
        <v>3017</v>
      </c>
      <c r="D2488" s="567">
        <v>7486</v>
      </c>
      <c r="E2488" s="567">
        <v>36</v>
      </c>
      <c r="F2488" s="567">
        <v>2</v>
      </c>
      <c r="G2488" s="567">
        <v>416</v>
      </c>
      <c r="H2488" s="567">
        <v>4140</v>
      </c>
      <c r="O2488"/>
    </row>
    <row r="2489" spans="1:15" x14ac:dyDescent="0.2">
      <c r="A2489" s="567">
        <v>2081</v>
      </c>
      <c r="B2489" s="568" t="s">
        <v>2357</v>
      </c>
      <c r="C2489" s="568" t="s">
        <v>430</v>
      </c>
      <c r="D2489" s="567">
        <v>5933</v>
      </c>
      <c r="E2489" s="567">
        <v>49</v>
      </c>
      <c r="F2489" s="567">
        <v>16</v>
      </c>
      <c r="G2489" s="567">
        <v>325</v>
      </c>
      <c r="H2489" s="567">
        <v>3160</v>
      </c>
      <c r="O2489"/>
    </row>
    <row r="2490" spans="1:15" x14ac:dyDescent="0.2">
      <c r="A2490" s="567">
        <v>2080</v>
      </c>
      <c r="B2490" s="568" t="s">
        <v>2357</v>
      </c>
      <c r="C2490" s="568" t="s">
        <v>2372</v>
      </c>
      <c r="D2490" s="567">
        <v>5932</v>
      </c>
      <c r="E2490" s="567">
        <v>49</v>
      </c>
      <c r="F2490" s="567">
        <v>16</v>
      </c>
      <c r="G2490" s="567">
        <v>325</v>
      </c>
      <c r="H2490" s="567">
        <v>3160</v>
      </c>
      <c r="O2490"/>
    </row>
    <row r="2491" spans="1:15" x14ac:dyDescent="0.2">
      <c r="A2491" s="567">
        <v>2079</v>
      </c>
      <c r="B2491" s="568" t="s">
        <v>2357</v>
      </c>
      <c r="C2491" s="568" t="s">
        <v>2373</v>
      </c>
      <c r="D2491" s="567">
        <v>5931</v>
      </c>
      <c r="E2491" s="567">
        <v>49</v>
      </c>
      <c r="F2491" s="567">
        <v>16</v>
      </c>
      <c r="G2491" s="567">
        <v>325</v>
      </c>
      <c r="H2491" s="567">
        <v>3160</v>
      </c>
      <c r="O2491"/>
    </row>
    <row r="2492" spans="1:15" x14ac:dyDescent="0.2">
      <c r="A2492" s="567">
        <v>2078</v>
      </c>
      <c r="B2492" s="568" t="s">
        <v>2357</v>
      </c>
      <c r="C2492" s="568" t="s">
        <v>2357</v>
      </c>
      <c r="D2492" s="567">
        <v>5930</v>
      </c>
      <c r="E2492" s="567">
        <v>49</v>
      </c>
      <c r="F2492" s="567">
        <v>16</v>
      </c>
      <c r="G2492" s="567">
        <v>325</v>
      </c>
      <c r="H2492" s="567">
        <v>3160</v>
      </c>
      <c r="O2492"/>
    </row>
    <row r="2493" spans="1:15" x14ac:dyDescent="0.2">
      <c r="A2493" s="567">
        <v>2083</v>
      </c>
      <c r="B2493" s="568" t="s">
        <v>2357</v>
      </c>
      <c r="C2493" s="568" t="s">
        <v>1796</v>
      </c>
      <c r="D2493" s="567">
        <v>5935</v>
      </c>
      <c r="E2493" s="567">
        <v>49</v>
      </c>
      <c r="F2493" s="567">
        <v>16</v>
      </c>
      <c r="G2493" s="567">
        <v>325</v>
      </c>
      <c r="H2493" s="567">
        <v>3160</v>
      </c>
      <c r="O2493"/>
    </row>
    <row r="2494" spans="1:15" x14ac:dyDescent="0.2">
      <c r="A2494" s="567">
        <v>2084</v>
      </c>
      <c r="B2494" s="568" t="s">
        <v>2357</v>
      </c>
      <c r="C2494" s="568" t="s">
        <v>2409</v>
      </c>
      <c r="D2494" s="567">
        <v>5936</v>
      </c>
      <c r="E2494" s="567">
        <v>49</v>
      </c>
      <c r="F2494" s="567">
        <v>16</v>
      </c>
      <c r="G2494" s="567">
        <v>325</v>
      </c>
      <c r="H2494" s="567">
        <v>3160</v>
      </c>
      <c r="O2494"/>
    </row>
    <row r="2495" spans="1:15" x14ac:dyDescent="0.2">
      <c r="A2495" s="567">
        <v>2082</v>
      </c>
      <c r="B2495" s="568" t="s">
        <v>2357</v>
      </c>
      <c r="C2495" s="568" t="s">
        <v>2413</v>
      </c>
      <c r="D2495" s="567">
        <v>5934</v>
      </c>
      <c r="E2495" s="567">
        <v>49</v>
      </c>
      <c r="F2495" s="567">
        <v>16</v>
      </c>
      <c r="G2495" s="567">
        <v>325</v>
      </c>
      <c r="H2495" s="567">
        <v>3160</v>
      </c>
      <c r="O2495"/>
    </row>
    <row r="2496" spans="1:15" x14ac:dyDescent="0.2">
      <c r="A2496" s="567">
        <v>595</v>
      </c>
      <c r="B2496" s="568" t="s">
        <v>250</v>
      </c>
      <c r="C2496" s="568" t="s">
        <v>249</v>
      </c>
      <c r="D2496" s="567">
        <v>1303</v>
      </c>
      <c r="E2496" s="567">
        <v>61</v>
      </c>
      <c r="F2496" s="567">
        <v>19</v>
      </c>
      <c r="G2496" s="567">
        <v>119</v>
      </c>
      <c r="H2496" s="567">
        <v>1110</v>
      </c>
      <c r="O2496"/>
    </row>
    <row r="2497" spans="1:15" x14ac:dyDescent="0.2">
      <c r="A2497" s="567">
        <v>594</v>
      </c>
      <c r="B2497" s="568" t="s">
        <v>250</v>
      </c>
      <c r="C2497" s="568" t="s">
        <v>251</v>
      </c>
      <c r="D2497" s="567">
        <v>1302</v>
      </c>
      <c r="E2497" s="567">
        <v>61</v>
      </c>
      <c r="F2497" s="567">
        <v>19</v>
      </c>
      <c r="G2497" s="567">
        <v>119</v>
      </c>
      <c r="H2497" s="567">
        <v>1110</v>
      </c>
      <c r="O2497"/>
    </row>
    <row r="2498" spans="1:15" x14ac:dyDescent="0.2">
      <c r="A2498" s="567">
        <v>592</v>
      </c>
      <c r="B2498" s="568" t="s">
        <v>250</v>
      </c>
      <c r="C2498" s="568" t="s">
        <v>250</v>
      </c>
      <c r="D2498" s="567">
        <v>1300</v>
      </c>
      <c r="E2498" s="567">
        <v>61</v>
      </c>
      <c r="F2498" s="567">
        <v>19</v>
      </c>
      <c r="G2498" s="567">
        <v>119</v>
      </c>
      <c r="H2498" s="567">
        <v>1110</v>
      </c>
      <c r="O2498"/>
    </row>
    <row r="2499" spans="1:15" x14ac:dyDescent="0.2">
      <c r="A2499" s="567">
        <v>593</v>
      </c>
      <c r="B2499" s="568" t="s">
        <v>250</v>
      </c>
      <c r="C2499" s="568" t="s">
        <v>266</v>
      </c>
      <c r="D2499" s="567">
        <v>1301</v>
      </c>
      <c r="E2499" s="567">
        <v>61</v>
      </c>
      <c r="F2499" s="567">
        <v>19</v>
      </c>
      <c r="G2499" s="567">
        <v>119</v>
      </c>
      <c r="H2499" s="567">
        <v>1110</v>
      </c>
      <c r="O2499"/>
    </row>
    <row r="2500" spans="1:15" x14ac:dyDescent="0.2">
      <c r="A2500" s="567">
        <v>2552</v>
      </c>
      <c r="B2500" s="568" t="s">
        <v>2059</v>
      </c>
      <c r="C2500" s="568" t="s">
        <v>2059</v>
      </c>
      <c r="D2500" s="567">
        <v>7325</v>
      </c>
      <c r="E2500" s="567">
        <v>73</v>
      </c>
      <c r="F2500" s="567">
        <v>3</v>
      </c>
      <c r="G2500" s="567">
        <v>336</v>
      </c>
      <c r="H2500" s="567">
        <v>3130</v>
      </c>
      <c r="O2500"/>
    </row>
    <row r="2501" spans="1:15" x14ac:dyDescent="0.2">
      <c r="A2501" s="567">
        <v>905</v>
      </c>
      <c r="B2501" s="568" t="s">
        <v>63</v>
      </c>
      <c r="C2501" s="568" t="s">
        <v>63</v>
      </c>
      <c r="D2501" s="567">
        <v>2320</v>
      </c>
      <c r="E2501" s="567">
        <v>61</v>
      </c>
      <c r="F2501" s="567">
        <v>19</v>
      </c>
      <c r="G2501" s="567">
        <v>136</v>
      </c>
      <c r="H2501" s="567">
        <v>1101</v>
      </c>
      <c r="O2501"/>
    </row>
    <row r="2502" spans="1:15" x14ac:dyDescent="0.2">
      <c r="A2502" s="567">
        <v>1786</v>
      </c>
      <c r="B2502" s="568" t="s">
        <v>2175</v>
      </c>
      <c r="C2502" s="568" t="s">
        <v>2175</v>
      </c>
      <c r="D2502" s="567">
        <v>4905</v>
      </c>
      <c r="E2502" s="567">
        <v>114</v>
      </c>
      <c r="F2502" s="567">
        <v>3</v>
      </c>
      <c r="G2502" s="567">
        <v>317</v>
      </c>
      <c r="H2502" s="567">
        <v>3140</v>
      </c>
      <c r="O2502"/>
    </row>
    <row r="2503" spans="1:15" x14ac:dyDescent="0.2">
      <c r="A2503" s="567">
        <v>680</v>
      </c>
      <c r="B2503" s="568" t="s">
        <v>663</v>
      </c>
      <c r="C2503" s="568" t="s">
        <v>663</v>
      </c>
      <c r="D2503" s="567">
        <v>1495</v>
      </c>
      <c r="E2503" s="567">
        <v>42</v>
      </c>
      <c r="F2503" s="567">
        <v>2</v>
      </c>
      <c r="G2503" s="567">
        <v>115</v>
      </c>
      <c r="H2503" s="567">
        <v>1161</v>
      </c>
      <c r="O2503"/>
    </row>
    <row r="2504" spans="1:15" x14ac:dyDescent="0.2">
      <c r="A2504" s="567">
        <v>681</v>
      </c>
      <c r="B2504" s="568" t="s">
        <v>663</v>
      </c>
      <c r="C2504" s="568" t="s">
        <v>670</v>
      </c>
      <c r="D2504" s="567">
        <v>1496</v>
      </c>
      <c r="E2504" s="567">
        <v>42</v>
      </c>
      <c r="F2504" s="567">
        <v>2</v>
      </c>
      <c r="G2504" s="567">
        <v>115</v>
      </c>
      <c r="H2504" s="567">
        <v>1161</v>
      </c>
      <c r="O2504"/>
    </row>
    <row r="2505" spans="1:15" x14ac:dyDescent="0.2">
      <c r="A2505" s="567">
        <v>497</v>
      </c>
      <c r="B2505" s="568" t="s">
        <v>775</v>
      </c>
      <c r="C2505" s="568" t="s">
        <v>774</v>
      </c>
      <c r="D2505" s="567">
        <v>986</v>
      </c>
      <c r="E2505" s="567">
        <v>76</v>
      </c>
      <c r="F2505" s="567">
        <v>2</v>
      </c>
      <c r="G2505" s="567">
        <v>118</v>
      </c>
      <c r="H2505" s="567">
        <v>1170</v>
      </c>
      <c r="O2505"/>
    </row>
    <row r="2506" spans="1:15" x14ac:dyDescent="0.2">
      <c r="A2506" s="567">
        <v>496</v>
      </c>
      <c r="B2506" s="568" t="s">
        <v>775</v>
      </c>
      <c r="C2506" s="568" t="s">
        <v>796</v>
      </c>
      <c r="D2506" s="567">
        <v>985</v>
      </c>
      <c r="E2506" s="567">
        <v>76</v>
      </c>
      <c r="F2506" s="567">
        <v>2</v>
      </c>
      <c r="G2506" s="567">
        <v>118</v>
      </c>
      <c r="H2506" s="567">
        <v>1170</v>
      </c>
      <c r="O2506"/>
    </row>
    <row r="2507" spans="1:15" x14ac:dyDescent="0.2">
      <c r="A2507" s="567">
        <v>501</v>
      </c>
      <c r="B2507" s="568" t="s">
        <v>775</v>
      </c>
      <c r="C2507" s="568" t="s">
        <v>801</v>
      </c>
      <c r="D2507" s="567">
        <v>990</v>
      </c>
      <c r="E2507" s="567">
        <v>76</v>
      </c>
      <c r="F2507" s="567">
        <v>2</v>
      </c>
      <c r="G2507" s="567">
        <v>118</v>
      </c>
      <c r="H2507" s="567">
        <v>1170</v>
      </c>
      <c r="O2507"/>
    </row>
    <row r="2508" spans="1:15" x14ac:dyDescent="0.2">
      <c r="A2508" s="567">
        <v>500</v>
      </c>
      <c r="B2508" s="568" t="s">
        <v>775</v>
      </c>
      <c r="C2508" s="568" t="s">
        <v>802</v>
      </c>
      <c r="D2508" s="567">
        <v>989</v>
      </c>
      <c r="E2508" s="567">
        <v>76</v>
      </c>
      <c r="F2508" s="567">
        <v>2</v>
      </c>
      <c r="G2508" s="567">
        <v>118</v>
      </c>
      <c r="H2508" s="567">
        <v>1170</v>
      </c>
      <c r="O2508"/>
    </row>
    <row r="2509" spans="1:15" x14ac:dyDescent="0.2">
      <c r="A2509" s="567">
        <v>499</v>
      </c>
      <c r="B2509" s="568" t="s">
        <v>775</v>
      </c>
      <c r="C2509" s="568" t="s">
        <v>803</v>
      </c>
      <c r="D2509" s="567">
        <v>988</v>
      </c>
      <c r="E2509" s="567">
        <v>76</v>
      </c>
      <c r="F2509" s="567">
        <v>2</v>
      </c>
      <c r="G2509" s="567">
        <v>118</v>
      </c>
      <c r="H2509" s="567">
        <v>1170</v>
      </c>
      <c r="O2509"/>
    </row>
    <row r="2510" spans="1:15" x14ac:dyDescent="0.2">
      <c r="A2510" s="567">
        <v>498</v>
      </c>
      <c r="B2510" s="568" t="s">
        <v>775</v>
      </c>
      <c r="C2510" s="568" t="s">
        <v>804</v>
      </c>
      <c r="D2510" s="567">
        <v>987</v>
      </c>
      <c r="E2510" s="567">
        <v>76</v>
      </c>
      <c r="F2510" s="567">
        <v>2</v>
      </c>
      <c r="G2510" s="567">
        <v>118</v>
      </c>
      <c r="H2510" s="567">
        <v>1170</v>
      </c>
      <c r="O2510"/>
    </row>
    <row r="2511" spans="1:15" x14ac:dyDescent="0.2">
      <c r="A2511" s="567">
        <v>833</v>
      </c>
      <c r="B2511" s="568" t="s">
        <v>476</v>
      </c>
      <c r="C2511" s="568" t="s">
        <v>476</v>
      </c>
      <c r="D2511" s="567">
        <v>2075</v>
      </c>
      <c r="E2511" s="567">
        <v>42</v>
      </c>
      <c r="F2511" s="567">
        <v>18</v>
      </c>
      <c r="G2511" s="567">
        <v>117</v>
      </c>
      <c r="H2511" s="567">
        <v>1130</v>
      </c>
      <c r="O2511"/>
    </row>
    <row r="2512" spans="1:15" x14ac:dyDescent="0.2">
      <c r="A2512" s="567">
        <v>3346</v>
      </c>
      <c r="B2512" s="568" t="s">
        <v>3121</v>
      </c>
      <c r="C2512" s="568" t="s">
        <v>3120</v>
      </c>
      <c r="D2512" s="567">
        <v>9766</v>
      </c>
      <c r="E2512" s="567">
        <v>52</v>
      </c>
      <c r="F2512" s="567">
        <v>4</v>
      </c>
      <c r="G2512" s="567">
        <v>435</v>
      </c>
      <c r="H2512" s="567">
        <v>4160</v>
      </c>
      <c r="O2512"/>
    </row>
    <row r="2513" spans="1:15" x14ac:dyDescent="0.2">
      <c r="A2513" s="567">
        <v>3340</v>
      </c>
      <c r="B2513" s="568" t="s">
        <v>3121</v>
      </c>
      <c r="C2513" s="568" t="s">
        <v>3121</v>
      </c>
      <c r="D2513" s="567">
        <v>9760</v>
      </c>
      <c r="E2513" s="567">
        <v>52</v>
      </c>
      <c r="F2513" s="567">
        <v>4</v>
      </c>
      <c r="G2513" s="567">
        <v>435</v>
      </c>
      <c r="H2513" s="567">
        <v>4160</v>
      </c>
      <c r="O2513"/>
    </row>
    <row r="2514" spans="1:15" x14ac:dyDescent="0.2">
      <c r="A2514" s="567">
        <v>3341</v>
      </c>
      <c r="B2514" s="568" t="s">
        <v>3121</v>
      </c>
      <c r="C2514" s="568" t="s">
        <v>838</v>
      </c>
      <c r="D2514" s="567">
        <v>9761</v>
      </c>
      <c r="E2514" s="567">
        <v>52</v>
      </c>
      <c r="F2514" s="567">
        <v>4</v>
      </c>
      <c r="G2514" s="567">
        <v>435</v>
      </c>
      <c r="H2514" s="567">
        <v>4160</v>
      </c>
      <c r="O2514"/>
    </row>
    <row r="2515" spans="1:15" x14ac:dyDescent="0.2">
      <c r="A2515" s="567">
        <v>3342</v>
      </c>
      <c r="B2515" s="568" t="s">
        <v>3121</v>
      </c>
      <c r="C2515" s="568" t="s">
        <v>3123</v>
      </c>
      <c r="D2515" s="567">
        <v>9762</v>
      </c>
      <c r="E2515" s="567">
        <v>52</v>
      </c>
      <c r="F2515" s="567">
        <v>4</v>
      </c>
      <c r="G2515" s="567">
        <v>435</v>
      </c>
      <c r="H2515" s="567">
        <v>4160</v>
      </c>
      <c r="O2515"/>
    </row>
    <row r="2516" spans="1:15" x14ac:dyDescent="0.2">
      <c r="A2516" s="567">
        <v>3343</v>
      </c>
      <c r="B2516" s="568" t="s">
        <v>3121</v>
      </c>
      <c r="C2516" s="568" t="s">
        <v>3124</v>
      </c>
      <c r="D2516" s="567">
        <v>9763</v>
      </c>
      <c r="E2516" s="567">
        <v>52</v>
      </c>
      <c r="F2516" s="567">
        <v>4</v>
      </c>
      <c r="G2516" s="567">
        <v>435</v>
      </c>
      <c r="H2516" s="567">
        <v>4160</v>
      </c>
      <c r="O2516"/>
    </row>
    <row r="2517" spans="1:15" x14ac:dyDescent="0.2">
      <c r="A2517" s="567">
        <v>3348</v>
      </c>
      <c r="B2517" s="568" t="s">
        <v>3121</v>
      </c>
      <c r="C2517" s="568" t="s">
        <v>2510</v>
      </c>
      <c r="D2517" s="567">
        <v>9768</v>
      </c>
      <c r="E2517" s="567">
        <v>52</v>
      </c>
      <c r="F2517" s="567">
        <v>4</v>
      </c>
      <c r="G2517" s="567">
        <v>435</v>
      </c>
      <c r="H2517" s="567">
        <v>4160</v>
      </c>
      <c r="O2517"/>
    </row>
    <row r="2518" spans="1:15" x14ac:dyDescent="0.2">
      <c r="A2518" s="567">
        <v>3345</v>
      </c>
      <c r="B2518" s="568" t="s">
        <v>3121</v>
      </c>
      <c r="C2518" s="568" t="s">
        <v>3125</v>
      </c>
      <c r="D2518" s="567">
        <v>9765</v>
      </c>
      <c r="E2518" s="567">
        <v>52</v>
      </c>
      <c r="F2518" s="567">
        <v>4</v>
      </c>
      <c r="G2518" s="567">
        <v>435</v>
      </c>
      <c r="H2518" s="567">
        <v>4160</v>
      </c>
      <c r="O2518"/>
    </row>
    <row r="2519" spans="1:15" x14ac:dyDescent="0.2">
      <c r="A2519" s="567">
        <v>3347</v>
      </c>
      <c r="B2519" s="568" t="s">
        <v>3121</v>
      </c>
      <c r="C2519" s="568" t="s">
        <v>3126</v>
      </c>
      <c r="D2519" s="567">
        <v>9767</v>
      </c>
      <c r="E2519" s="567">
        <v>52</v>
      </c>
      <c r="F2519" s="567">
        <v>4</v>
      </c>
      <c r="G2519" s="567">
        <v>435</v>
      </c>
      <c r="H2519" s="567">
        <v>4160</v>
      </c>
      <c r="O2519"/>
    </row>
    <row r="2520" spans="1:15" x14ac:dyDescent="0.2">
      <c r="A2520" s="567">
        <v>3349</v>
      </c>
      <c r="B2520" s="568" t="s">
        <v>3121</v>
      </c>
      <c r="C2520" s="568" t="s">
        <v>3129</v>
      </c>
      <c r="D2520" s="567">
        <v>9769</v>
      </c>
      <c r="E2520" s="567">
        <v>52</v>
      </c>
      <c r="F2520" s="567">
        <v>4</v>
      </c>
      <c r="G2520" s="567">
        <v>435</v>
      </c>
      <c r="H2520" s="567">
        <v>4160</v>
      </c>
      <c r="O2520"/>
    </row>
    <row r="2521" spans="1:15" x14ac:dyDescent="0.2">
      <c r="A2521" s="567">
        <v>3344</v>
      </c>
      <c r="B2521" s="568" t="s">
        <v>3121</v>
      </c>
      <c r="C2521" s="568" t="s">
        <v>3130</v>
      </c>
      <c r="D2521" s="567">
        <v>9764</v>
      </c>
      <c r="E2521" s="567">
        <v>52</v>
      </c>
      <c r="F2521" s="567">
        <v>4</v>
      </c>
      <c r="G2521" s="567">
        <v>435</v>
      </c>
      <c r="H2521" s="567">
        <v>4160</v>
      </c>
      <c r="O2521"/>
    </row>
    <row r="2522" spans="1:15" x14ac:dyDescent="0.2">
      <c r="A2522" s="567">
        <v>3350</v>
      </c>
      <c r="B2522" s="568" t="s">
        <v>3121</v>
      </c>
      <c r="C2522" s="568" t="s">
        <v>2644</v>
      </c>
      <c r="D2522" s="567">
        <v>9770</v>
      </c>
      <c r="E2522" s="567">
        <v>52</v>
      </c>
      <c r="F2522" s="567">
        <v>4</v>
      </c>
      <c r="G2522" s="567">
        <v>435</v>
      </c>
      <c r="H2522" s="567">
        <v>4160</v>
      </c>
      <c r="O2522"/>
    </row>
    <row r="2523" spans="1:15" x14ac:dyDescent="0.2">
      <c r="A2523" s="567">
        <v>2493</v>
      </c>
      <c r="B2523" s="568" t="s">
        <v>2102</v>
      </c>
      <c r="C2523" s="568" t="s">
        <v>2102</v>
      </c>
      <c r="D2523" s="567">
        <v>7170</v>
      </c>
      <c r="E2523" s="567">
        <v>74</v>
      </c>
      <c r="F2523" s="567">
        <v>5</v>
      </c>
      <c r="G2523" s="567">
        <v>336</v>
      </c>
      <c r="H2523" s="567">
        <v>3130</v>
      </c>
      <c r="O2523"/>
    </row>
    <row r="2524" spans="1:15" x14ac:dyDescent="0.2">
      <c r="A2524" s="567">
        <v>1178</v>
      </c>
      <c r="B2524" s="568" t="s">
        <v>1393</v>
      </c>
      <c r="C2524" s="568" t="s">
        <v>1393</v>
      </c>
      <c r="D2524" s="567">
        <v>3105</v>
      </c>
      <c r="E2524" s="567">
        <v>76</v>
      </c>
      <c r="F2524" s="567">
        <v>3</v>
      </c>
      <c r="G2524" s="567">
        <v>226</v>
      </c>
      <c r="H2524" s="567">
        <v>2130</v>
      </c>
      <c r="O2524"/>
    </row>
    <row r="2525" spans="1:15" x14ac:dyDescent="0.2">
      <c r="A2525" s="567">
        <v>1832</v>
      </c>
      <c r="B2525" s="568" t="s">
        <v>1840</v>
      </c>
      <c r="C2525" s="568" t="s">
        <v>1840</v>
      </c>
      <c r="D2525" s="567">
        <v>5100</v>
      </c>
      <c r="E2525" s="567">
        <v>38</v>
      </c>
      <c r="F2525" s="567">
        <v>3</v>
      </c>
      <c r="G2525" s="567">
        <v>316</v>
      </c>
      <c r="H2525" s="567">
        <v>3110</v>
      </c>
      <c r="O2525"/>
    </row>
    <row r="2526" spans="1:15" x14ac:dyDescent="0.2">
      <c r="A2526" s="567">
        <v>1834</v>
      </c>
      <c r="B2526" s="568" t="s">
        <v>1840</v>
      </c>
      <c r="C2526" s="568" t="s">
        <v>1864</v>
      </c>
      <c r="D2526" s="567">
        <v>5102</v>
      </c>
      <c r="E2526" s="567">
        <v>38</v>
      </c>
      <c r="F2526" s="567">
        <v>3</v>
      </c>
      <c r="G2526" s="567">
        <v>316</v>
      </c>
      <c r="H2526" s="567">
        <v>3110</v>
      </c>
      <c r="O2526"/>
    </row>
    <row r="2527" spans="1:15" x14ac:dyDescent="0.2">
      <c r="A2527" s="567">
        <v>1833</v>
      </c>
      <c r="B2527" s="568" t="s">
        <v>1840</v>
      </c>
      <c r="C2527" s="568" t="s">
        <v>1865</v>
      </c>
      <c r="D2527" s="567">
        <v>5101</v>
      </c>
      <c r="E2527" s="567">
        <v>38</v>
      </c>
      <c r="F2527" s="567">
        <v>3</v>
      </c>
      <c r="G2527" s="567">
        <v>316</v>
      </c>
      <c r="H2527" s="567">
        <v>3110</v>
      </c>
      <c r="O2527"/>
    </row>
    <row r="2528" spans="1:15" x14ac:dyDescent="0.2">
      <c r="A2528" s="567">
        <v>1675</v>
      </c>
      <c r="B2528" s="568" t="s">
        <v>1840</v>
      </c>
      <c r="C2528" s="568" t="s">
        <v>2200</v>
      </c>
      <c r="D2528" s="567">
        <v>4586</v>
      </c>
      <c r="E2528" s="567">
        <v>116</v>
      </c>
      <c r="F2528" s="567">
        <v>3</v>
      </c>
      <c r="G2528" s="567">
        <v>317</v>
      </c>
      <c r="H2528" s="567">
        <v>3140</v>
      </c>
      <c r="O2528"/>
    </row>
    <row r="2529" spans="1:15" x14ac:dyDescent="0.2">
      <c r="A2529" s="567">
        <v>1674</v>
      </c>
      <c r="B2529" s="568" t="s">
        <v>1840</v>
      </c>
      <c r="C2529" s="568" t="s">
        <v>1840</v>
      </c>
      <c r="D2529" s="567">
        <v>4585</v>
      </c>
      <c r="E2529" s="567">
        <v>116</v>
      </c>
      <c r="F2529" s="567">
        <v>3</v>
      </c>
      <c r="G2529" s="567">
        <v>317</v>
      </c>
      <c r="H2529" s="567">
        <v>3140</v>
      </c>
      <c r="O2529"/>
    </row>
    <row r="2530" spans="1:15" x14ac:dyDescent="0.2">
      <c r="A2530" s="567">
        <v>1677</v>
      </c>
      <c r="B2530" s="568" t="s">
        <v>2215</v>
      </c>
      <c r="C2530" s="568" t="s">
        <v>2215</v>
      </c>
      <c r="D2530" s="567">
        <v>4595</v>
      </c>
      <c r="E2530" s="567">
        <v>118</v>
      </c>
      <c r="F2530" s="567">
        <v>5</v>
      </c>
      <c r="G2530" s="567">
        <v>317</v>
      </c>
      <c r="H2530" s="567">
        <v>3140</v>
      </c>
      <c r="O2530"/>
    </row>
    <row r="2531" spans="1:15" x14ac:dyDescent="0.2">
      <c r="A2531" s="567">
        <v>289</v>
      </c>
      <c r="B2531" s="568" t="s">
        <v>1032</v>
      </c>
      <c r="C2531" s="568" t="s">
        <v>1032</v>
      </c>
      <c r="D2531" s="567">
        <v>480</v>
      </c>
      <c r="E2531" s="567">
        <v>73</v>
      </c>
      <c r="F2531" s="567">
        <v>20</v>
      </c>
      <c r="G2531" s="567">
        <v>127</v>
      </c>
      <c r="H2531" s="567">
        <v>1200</v>
      </c>
      <c r="O2531"/>
    </row>
    <row r="2532" spans="1:15" x14ac:dyDescent="0.2">
      <c r="A2532" s="567">
        <v>290</v>
      </c>
      <c r="B2532" s="568" t="s">
        <v>1032</v>
      </c>
      <c r="C2532" s="568" t="s">
        <v>1033</v>
      </c>
      <c r="D2532" s="567">
        <v>481</v>
      </c>
      <c r="E2532" s="567">
        <v>73</v>
      </c>
      <c r="F2532" s="567">
        <v>20</v>
      </c>
      <c r="G2532" s="567">
        <v>127</v>
      </c>
      <c r="H2532" s="567">
        <v>1200</v>
      </c>
      <c r="O2532"/>
    </row>
    <row r="2533" spans="1:15" x14ac:dyDescent="0.2">
      <c r="A2533" s="567">
        <v>291</v>
      </c>
      <c r="B2533" s="568" t="s">
        <v>1032</v>
      </c>
      <c r="C2533" s="568" t="s">
        <v>1034</v>
      </c>
      <c r="D2533" s="567">
        <v>482</v>
      </c>
      <c r="E2533" s="567">
        <v>73</v>
      </c>
      <c r="F2533" s="567">
        <v>20</v>
      </c>
      <c r="G2533" s="567">
        <v>127</v>
      </c>
      <c r="H2533" s="567">
        <v>1200</v>
      </c>
      <c r="O2533"/>
    </row>
    <row r="2534" spans="1:15" x14ac:dyDescent="0.2">
      <c r="A2534" s="567">
        <v>3155</v>
      </c>
      <c r="B2534" s="568" t="s">
        <v>3022</v>
      </c>
      <c r="C2534" s="568" t="s">
        <v>1820</v>
      </c>
      <c r="D2534" s="567">
        <v>9125</v>
      </c>
      <c r="E2534" s="567">
        <v>123</v>
      </c>
      <c r="F2534" s="567">
        <v>11</v>
      </c>
      <c r="G2534" s="567">
        <v>437</v>
      </c>
      <c r="H2534" s="567">
        <v>4151</v>
      </c>
      <c r="O2534"/>
    </row>
    <row r="2535" spans="1:15" x14ac:dyDescent="0.2">
      <c r="A2535" s="567">
        <v>3154</v>
      </c>
      <c r="B2535" s="568" t="s">
        <v>3022</v>
      </c>
      <c r="C2535" s="568" t="s">
        <v>3023</v>
      </c>
      <c r="D2535" s="567">
        <v>9124</v>
      </c>
      <c r="E2535" s="567">
        <v>123</v>
      </c>
      <c r="F2535" s="567">
        <v>11</v>
      </c>
      <c r="G2535" s="567">
        <v>437</v>
      </c>
      <c r="H2535" s="567">
        <v>4151</v>
      </c>
      <c r="O2535"/>
    </row>
    <row r="2536" spans="1:15" x14ac:dyDescent="0.2">
      <c r="A2536" s="567">
        <v>3153</v>
      </c>
      <c r="B2536" s="568" t="s">
        <v>3022</v>
      </c>
      <c r="C2536" s="568" t="s">
        <v>1565</v>
      </c>
      <c r="D2536" s="567">
        <v>9123</v>
      </c>
      <c r="E2536" s="567">
        <v>123</v>
      </c>
      <c r="F2536" s="567">
        <v>11</v>
      </c>
      <c r="G2536" s="567">
        <v>437</v>
      </c>
      <c r="H2536" s="567">
        <v>4151</v>
      </c>
      <c r="O2536"/>
    </row>
    <row r="2537" spans="1:15" x14ac:dyDescent="0.2">
      <c r="A2537" s="567">
        <v>3152</v>
      </c>
      <c r="B2537" s="568" t="s">
        <v>3022</v>
      </c>
      <c r="C2537" s="568" t="s">
        <v>424</v>
      </c>
      <c r="D2537" s="567">
        <v>9122</v>
      </c>
      <c r="E2537" s="567">
        <v>123</v>
      </c>
      <c r="F2537" s="567">
        <v>11</v>
      </c>
      <c r="G2537" s="567">
        <v>437</v>
      </c>
      <c r="H2537" s="567">
        <v>4151</v>
      </c>
      <c r="O2537"/>
    </row>
    <row r="2538" spans="1:15" x14ac:dyDescent="0.2">
      <c r="A2538" s="567">
        <v>3151</v>
      </c>
      <c r="B2538" s="568" t="s">
        <v>3022</v>
      </c>
      <c r="C2538" s="568" t="s">
        <v>2340</v>
      </c>
      <c r="D2538" s="567">
        <v>9121</v>
      </c>
      <c r="E2538" s="567">
        <v>123</v>
      </c>
      <c r="F2538" s="567">
        <v>11</v>
      </c>
      <c r="G2538" s="567">
        <v>437</v>
      </c>
      <c r="H2538" s="567">
        <v>4151</v>
      </c>
      <c r="O2538"/>
    </row>
    <row r="2539" spans="1:15" x14ac:dyDescent="0.2">
      <c r="A2539" s="567">
        <v>3150</v>
      </c>
      <c r="B2539" s="568" t="s">
        <v>3022</v>
      </c>
      <c r="C2539" s="568" t="s">
        <v>3022</v>
      </c>
      <c r="D2539" s="567">
        <v>9120</v>
      </c>
      <c r="E2539" s="567">
        <v>123</v>
      </c>
      <c r="F2539" s="567">
        <v>11</v>
      </c>
      <c r="G2539" s="567">
        <v>437</v>
      </c>
      <c r="H2539" s="567">
        <v>4151</v>
      </c>
      <c r="O2539"/>
    </row>
    <row r="2540" spans="1:15" x14ac:dyDescent="0.2">
      <c r="A2540" s="567">
        <v>3176</v>
      </c>
      <c r="B2540" s="568" t="s">
        <v>3044</v>
      </c>
      <c r="C2540" s="568" t="s">
        <v>3044</v>
      </c>
      <c r="D2540" s="567">
        <v>9180</v>
      </c>
      <c r="E2540" s="567">
        <v>100</v>
      </c>
      <c r="F2540" s="567">
        <v>11</v>
      </c>
      <c r="G2540" s="567">
        <v>437</v>
      </c>
      <c r="H2540" s="567">
        <v>4151</v>
      </c>
      <c r="O2540"/>
    </row>
    <row r="2541" spans="1:15" x14ac:dyDescent="0.2">
      <c r="A2541" s="567">
        <v>3178</v>
      </c>
      <c r="B2541" s="568" t="s">
        <v>3044</v>
      </c>
      <c r="C2541" s="568" t="s">
        <v>3066</v>
      </c>
      <c r="D2541" s="567">
        <v>9182</v>
      </c>
      <c r="E2541" s="567">
        <v>100</v>
      </c>
      <c r="F2541" s="567">
        <v>11</v>
      </c>
      <c r="G2541" s="567">
        <v>437</v>
      </c>
      <c r="H2541" s="567">
        <v>4151</v>
      </c>
      <c r="O2541"/>
    </row>
    <row r="2542" spans="1:15" x14ac:dyDescent="0.2">
      <c r="A2542" s="567">
        <v>3179</v>
      </c>
      <c r="B2542" s="568" t="s">
        <v>3044</v>
      </c>
      <c r="C2542" s="568" t="s">
        <v>677</v>
      </c>
      <c r="D2542" s="567">
        <v>9183</v>
      </c>
      <c r="E2542" s="567">
        <v>100</v>
      </c>
      <c r="F2542" s="567">
        <v>11</v>
      </c>
      <c r="G2542" s="567">
        <v>437</v>
      </c>
      <c r="H2542" s="567">
        <v>4151</v>
      </c>
      <c r="O2542"/>
    </row>
    <row r="2543" spans="1:15" x14ac:dyDescent="0.2">
      <c r="A2543" s="567">
        <v>3180</v>
      </c>
      <c r="B2543" s="568" t="s">
        <v>3044</v>
      </c>
      <c r="C2543" s="568" t="s">
        <v>3067</v>
      </c>
      <c r="D2543" s="567">
        <v>9184</v>
      </c>
      <c r="E2543" s="567">
        <v>100</v>
      </c>
      <c r="F2543" s="567">
        <v>11</v>
      </c>
      <c r="G2543" s="567">
        <v>437</v>
      </c>
      <c r="H2543" s="567">
        <v>4151</v>
      </c>
      <c r="O2543"/>
    </row>
    <row r="2544" spans="1:15" x14ac:dyDescent="0.2">
      <c r="A2544" s="567">
        <v>3181</v>
      </c>
      <c r="B2544" s="568" t="s">
        <v>3044</v>
      </c>
      <c r="C2544" s="568" t="s">
        <v>3068</v>
      </c>
      <c r="D2544" s="567">
        <v>9185</v>
      </c>
      <c r="E2544" s="567">
        <v>100</v>
      </c>
      <c r="F2544" s="567">
        <v>11</v>
      </c>
      <c r="G2544" s="567">
        <v>437</v>
      </c>
      <c r="H2544" s="567">
        <v>4151</v>
      </c>
      <c r="O2544"/>
    </row>
    <row r="2545" spans="1:15" x14ac:dyDescent="0.2">
      <c r="A2545" s="567">
        <v>3182</v>
      </c>
      <c r="B2545" s="568" t="s">
        <v>3044</v>
      </c>
      <c r="C2545" s="568" t="s">
        <v>3069</v>
      </c>
      <c r="D2545" s="567">
        <v>9186</v>
      </c>
      <c r="E2545" s="567">
        <v>100</v>
      </c>
      <c r="F2545" s="567">
        <v>11</v>
      </c>
      <c r="G2545" s="567">
        <v>437</v>
      </c>
      <c r="H2545" s="567">
        <v>4151</v>
      </c>
      <c r="O2545"/>
    </row>
    <row r="2546" spans="1:15" x14ac:dyDescent="0.2">
      <c r="A2546" s="567">
        <v>3183</v>
      </c>
      <c r="B2546" s="568" t="s">
        <v>3044</v>
      </c>
      <c r="C2546" s="568" t="s">
        <v>3070</v>
      </c>
      <c r="D2546" s="567">
        <v>9187</v>
      </c>
      <c r="E2546" s="567">
        <v>100</v>
      </c>
      <c r="F2546" s="567">
        <v>11</v>
      </c>
      <c r="G2546" s="567">
        <v>437</v>
      </c>
      <c r="H2546" s="567">
        <v>4151</v>
      </c>
      <c r="O2546"/>
    </row>
    <row r="2547" spans="1:15" x14ac:dyDescent="0.2">
      <c r="A2547" s="567">
        <v>3184</v>
      </c>
      <c r="B2547" s="568" t="s">
        <v>3044</v>
      </c>
      <c r="C2547" s="568" t="s">
        <v>3071</v>
      </c>
      <c r="D2547" s="567">
        <v>9188</v>
      </c>
      <c r="E2547" s="567">
        <v>100</v>
      </c>
      <c r="F2547" s="567">
        <v>11</v>
      </c>
      <c r="G2547" s="567">
        <v>437</v>
      </c>
      <c r="H2547" s="567">
        <v>4151</v>
      </c>
      <c r="O2547"/>
    </row>
    <row r="2548" spans="1:15" x14ac:dyDescent="0.2">
      <c r="A2548" s="567">
        <v>3185</v>
      </c>
      <c r="B2548" s="568" t="s">
        <v>3044</v>
      </c>
      <c r="C2548" s="568" t="s">
        <v>3072</v>
      </c>
      <c r="D2548" s="567">
        <v>9189</v>
      </c>
      <c r="E2548" s="567">
        <v>100</v>
      </c>
      <c r="F2548" s="567">
        <v>11</v>
      </c>
      <c r="G2548" s="567">
        <v>437</v>
      </c>
      <c r="H2548" s="567">
        <v>4151</v>
      </c>
      <c r="O2548"/>
    </row>
    <row r="2549" spans="1:15" x14ac:dyDescent="0.2">
      <c r="A2549" s="567">
        <v>3186</v>
      </c>
      <c r="B2549" s="568" t="s">
        <v>3044</v>
      </c>
      <c r="C2549" s="568" t="s">
        <v>3073</v>
      </c>
      <c r="D2549" s="567">
        <v>9190</v>
      </c>
      <c r="E2549" s="567">
        <v>100</v>
      </c>
      <c r="F2549" s="567">
        <v>11</v>
      </c>
      <c r="G2549" s="567">
        <v>437</v>
      </c>
      <c r="H2549" s="567">
        <v>4151</v>
      </c>
      <c r="O2549"/>
    </row>
    <row r="2550" spans="1:15" x14ac:dyDescent="0.2">
      <c r="A2550" s="567">
        <v>3187</v>
      </c>
      <c r="B2550" s="568" t="s">
        <v>3044</v>
      </c>
      <c r="C2550" s="568" t="s">
        <v>3074</v>
      </c>
      <c r="D2550" s="567">
        <v>9191</v>
      </c>
      <c r="E2550" s="567">
        <v>100</v>
      </c>
      <c r="F2550" s="567">
        <v>11</v>
      </c>
      <c r="G2550" s="567">
        <v>437</v>
      </c>
      <c r="H2550" s="567">
        <v>4151</v>
      </c>
      <c r="O2550"/>
    </row>
    <row r="2551" spans="1:15" x14ac:dyDescent="0.2">
      <c r="A2551" s="567">
        <v>3189</v>
      </c>
      <c r="B2551" s="568" t="s">
        <v>3044</v>
      </c>
      <c r="C2551" s="568" t="s">
        <v>3076</v>
      </c>
      <c r="D2551" s="567">
        <v>9193</v>
      </c>
      <c r="E2551" s="567">
        <v>100</v>
      </c>
      <c r="F2551" s="567">
        <v>11</v>
      </c>
      <c r="G2551" s="567">
        <v>437</v>
      </c>
      <c r="H2551" s="567">
        <v>4151</v>
      </c>
      <c r="O2551"/>
    </row>
    <row r="2552" spans="1:15" x14ac:dyDescent="0.2">
      <c r="A2552" s="567">
        <v>3177</v>
      </c>
      <c r="B2552" s="568" t="s">
        <v>3044</v>
      </c>
      <c r="C2552" s="568" t="s">
        <v>3077</v>
      </c>
      <c r="D2552" s="567">
        <v>9181</v>
      </c>
      <c r="E2552" s="567">
        <v>100</v>
      </c>
      <c r="F2552" s="567">
        <v>11</v>
      </c>
      <c r="G2552" s="567">
        <v>437</v>
      </c>
      <c r="H2552" s="567">
        <v>4151</v>
      </c>
      <c r="O2552"/>
    </row>
    <row r="2553" spans="1:15" x14ac:dyDescent="0.2">
      <c r="A2553" s="567">
        <v>3188</v>
      </c>
      <c r="B2553" s="568" t="s">
        <v>3044</v>
      </c>
      <c r="C2553" s="568" t="s">
        <v>3086</v>
      </c>
      <c r="D2553" s="567">
        <v>9192</v>
      </c>
      <c r="E2553" s="567">
        <v>100</v>
      </c>
      <c r="F2553" s="567">
        <v>11</v>
      </c>
      <c r="G2553" s="567">
        <v>437</v>
      </c>
      <c r="H2553" s="567">
        <v>4151</v>
      </c>
      <c r="O2553"/>
    </row>
    <row r="2554" spans="1:15" x14ac:dyDescent="0.2">
      <c r="A2554" s="567">
        <v>2550</v>
      </c>
      <c r="B2554" s="568" t="s">
        <v>2052</v>
      </c>
      <c r="C2554" s="568" t="s">
        <v>2052</v>
      </c>
      <c r="D2554" s="567">
        <v>7315</v>
      </c>
      <c r="E2554" s="567">
        <v>75</v>
      </c>
      <c r="F2554" s="567">
        <v>3</v>
      </c>
      <c r="G2554" s="567">
        <v>336</v>
      </c>
      <c r="H2554" s="567">
        <v>3130</v>
      </c>
      <c r="O2554"/>
    </row>
    <row r="2555" spans="1:15" x14ac:dyDescent="0.2">
      <c r="A2555" s="567">
        <v>1910</v>
      </c>
      <c r="B2555" s="568" t="s">
        <v>1942</v>
      </c>
      <c r="C2555" s="568" t="s">
        <v>1941</v>
      </c>
      <c r="D2555" s="567">
        <v>5372</v>
      </c>
      <c r="E2555" s="567">
        <v>98</v>
      </c>
      <c r="F2555" s="567">
        <v>3</v>
      </c>
      <c r="G2555" s="567">
        <v>315</v>
      </c>
      <c r="H2555" s="567">
        <v>3120</v>
      </c>
      <c r="O2555"/>
    </row>
    <row r="2556" spans="1:15" x14ac:dyDescent="0.2">
      <c r="A2556" s="567">
        <v>1909</v>
      </c>
      <c r="B2556" s="568" t="s">
        <v>1942</v>
      </c>
      <c r="C2556" s="568" t="s">
        <v>1942</v>
      </c>
      <c r="D2556" s="567">
        <v>5371</v>
      </c>
      <c r="E2556" s="567">
        <v>98</v>
      </c>
      <c r="F2556" s="567">
        <v>3</v>
      </c>
      <c r="G2556" s="567">
        <v>315</v>
      </c>
      <c r="H2556" s="567">
        <v>3120</v>
      </c>
      <c r="O2556"/>
    </row>
    <row r="2557" spans="1:15" x14ac:dyDescent="0.2">
      <c r="A2557" s="567">
        <v>1908</v>
      </c>
      <c r="B2557" s="568" t="s">
        <v>1942</v>
      </c>
      <c r="C2557" s="568" t="s">
        <v>1943</v>
      </c>
      <c r="D2557" s="567">
        <v>5370</v>
      </c>
      <c r="E2557" s="567">
        <v>98</v>
      </c>
      <c r="F2557" s="567">
        <v>3</v>
      </c>
      <c r="G2557" s="567">
        <v>315</v>
      </c>
      <c r="H2557" s="567">
        <v>3120</v>
      </c>
      <c r="O2557"/>
    </row>
    <row r="2558" spans="1:15" x14ac:dyDescent="0.2">
      <c r="A2558" s="567">
        <v>912</v>
      </c>
      <c r="B2558" s="568" t="s">
        <v>71</v>
      </c>
      <c r="C2558" s="568" t="s">
        <v>71</v>
      </c>
      <c r="D2558" s="567">
        <v>2355</v>
      </c>
      <c r="E2558" s="567">
        <v>62</v>
      </c>
      <c r="F2558" s="567">
        <v>18</v>
      </c>
      <c r="G2558" s="567">
        <v>136</v>
      </c>
      <c r="H2558" s="567">
        <v>1101</v>
      </c>
      <c r="O2558"/>
    </row>
    <row r="2559" spans="1:15" x14ac:dyDescent="0.2">
      <c r="A2559" s="567">
        <v>3156</v>
      </c>
      <c r="B2559" s="568" t="s">
        <v>3021</v>
      </c>
      <c r="C2559" s="568" t="s">
        <v>3021</v>
      </c>
      <c r="D2559" s="567">
        <v>9130</v>
      </c>
      <c r="E2559" s="567">
        <v>101</v>
      </c>
      <c r="F2559" s="567">
        <v>11</v>
      </c>
      <c r="G2559" s="567">
        <v>437</v>
      </c>
      <c r="H2559" s="567">
        <v>4151</v>
      </c>
      <c r="O2559"/>
    </row>
    <row r="2560" spans="1:15" x14ac:dyDescent="0.2">
      <c r="A2560" s="567">
        <v>3157</v>
      </c>
      <c r="B2560" s="568" t="s">
        <v>3021</v>
      </c>
      <c r="C2560" s="568" t="s">
        <v>3037</v>
      </c>
      <c r="D2560" s="567">
        <v>9131</v>
      </c>
      <c r="E2560" s="567">
        <v>101</v>
      </c>
      <c r="F2560" s="567">
        <v>11</v>
      </c>
      <c r="G2560" s="567">
        <v>437</v>
      </c>
      <c r="H2560" s="567">
        <v>4151</v>
      </c>
      <c r="O2560"/>
    </row>
    <row r="2561" spans="1:15" x14ac:dyDescent="0.2">
      <c r="A2561" s="567">
        <v>1104</v>
      </c>
      <c r="B2561" s="568" t="s">
        <v>1511</v>
      </c>
      <c r="C2561" s="568" t="s">
        <v>1510</v>
      </c>
      <c r="D2561" s="567">
        <v>2853</v>
      </c>
      <c r="E2561" s="567">
        <v>115</v>
      </c>
      <c r="F2561" s="567">
        <v>21</v>
      </c>
      <c r="G2561" s="567">
        <v>225</v>
      </c>
      <c r="H2561" s="567">
        <v>2140</v>
      </c>
      <c r="O2561"/>
    </row>
    <row r="2562" spans="1:15" x14ac:dyDescent="0.2">
      <c r="A2562" s="567">
        <v>1103</v>
      </c>
      <c r="B2562" s="568" t="s">
        <v>1511</v>
      </c>
      <c r="C2562" s="568" t="s">
        <v>1512</v>
      </c>
      <c r="D2562" s="567">
        <v>2852</v>
      </c>
      <c r="E2562" s="567">
        <v>115</v>
      </c>
      <c r="F2562" s="567">
        <v>21</v>
      </c>
      <c r="G2562" s="567">
        <v>225</v>
      </c>
      <c r="H2562" s="567">
        <v>2140</v>
      </c>
      <c r="O2562"/>
    </row>
    <row r="2563" spans="1:15" x14ac:dyDescent="0.2">
      <c r="A2563" s="567">
        <v>1102</v>
      </c>
      <c r="B2563" s="568" t="s">
        <v>1511</v>
      </c>
      <c r="C2563" s="568" t="s">
        <v>1513</v>
      </c>
      <c r="D2563" s="567">
        <v>2851</v>
      </c>
      <c r="E2563" s="567">
        <v>115</v>
      </c>
      <c r="F2563" s="567">
        <v>21</v>
      </c>
      <c r="G2563" s="567">
        <v>225</v>
      </c>
      <c r="H2563" s="567">
        <v>2140</v>
      </c>
      <c r="O2563"/>
    </row>
    <row r="2564" spans="1:15" x14ac:dyDescent="0.2">
      <c r="A2564" s="567">
        <v>1101</v>
      </c>
      <c r="B2564" s="568" t="s">
        <v>1511</v>
      </c>
      <c r="C2564" s="568" t="s">
        <v>1514</v>
      </c>
      <c r="D2564" s="567">
        <v>2850</v>
      </c>
      <c r="E2564" s="567">
        <v>115</v>
      </c>
      <c r="F2564" s="567">
        <v>21</v>
      </c>
      <c r="G2564" s="567">
        <v>225</v>
      </c>
      <c r="H2564" s="567">
        <v>2140</v>
      </c>
      <c r="O2564"/>
    </row>
    <row r="2565" spans="1:15" x14ac:dyDescent="0.2">
      <c r="A2565" s="567">
        <v>2887</v>
      </c>
      <c r="B2565" s="568" t="s">
        <v>3284</v>
      </c>
      <c r="C2565" s="568" t="s">
        <v>3283</v>
      </c>
      <c r="D2565" s="567">
        <v>8312</v>
      </c>
      <c r="E2565" s="567">
        <v>108</v>
      </c>
      <c r="F2565" s="567">
        <v>14</v>
      </c>
      <c r="G2565" s="567">
        <v>425</v>
      </c>
      <c r="H2565" s="567">
        <v>4170</v>
      </c>
      <c r="O2565"/>
    </row>
    <row r="2566" spans="1:15" x14ac:dyDescent="0.2">
      <c r="A2566" s="567">
        <v>2886</v>
      </c>
      <c r="B2566" s="568" t="s">
        <v>3284</v>
      </c>
      <c r="C2566" s="568" t="s">
        <v>3295</v>
      </c>
      <c r="D2566" s="567">
        <v>8311</v>
      </c>
      <c r="E2566" s="567">
        <v>108</v>
      </c>
      <c r="F2566" s="567">
        <v>14</v>
      </c>
      <c r="G2566" s="567">
        <v>425</v>
      </c>
      <c r="H2566" s="567">
        <v>4170</v>
      </c>
      <c r="O2566"/>
    </row>
    <row r="2567" spans="1:15" x14ac:dyDescent="0.2">
      <c r="A2567" s="567">
        <v>2888</v>
      </c>
      <c r="B2567" s="568" t="s">
        <v>3284</v>
      </c>
      <c r="C2567" s="568" t="s">
        <v>1078</v>
      </c>
      <c r="D2567" s="567">
        <v>8313</v>
      </c>
      <c r="E2567" s="567">
        <v>108</v>
      </c>
      <c r="F2567" s="567">
        <v>14</v>
      </c>
      <c r="G2567" s="567">
        <v>425</v>
      </c>
      <c r="H2567" s="567">
        <v>4170</v>
      </c>
      <c r="O2567"/>
    </row>
    <row r="2568" spans="1:15" x14ac:dyDescent="0.2">
      <c r="A2568" s="567">
        <v>2889</v>
      </c>
      <c r="B2568" s="568" t="s">
        <v>3284</v>
      </c>
      <c r="C2568" s="568" t="s">
        <v>3297</v>
      </c>
      <c r="D2568" s="567">
        <v>8314</v>
      </c>
      <c r="E2568" s="567">
        <v>108</v>
      </c>
      <c r="F2568" s="567">
        <v>14</v>
      </c>
      <c r="G2568" s="567">
        <v>425</v>
      </c>
      <c r="H2568" s="567">
        <v>4170</v>
      </c>
      <c r="O2568"/>
    </row>
    <row r="2569" spans="1:15" x14ac:dyDescent="0.2">
      <c r="A2569" s="567">
        <v>2890</v>
      </c>
      <c r="B2569" s="568" t="s">
        <v>3284</v>
      </c>
      <c r="C2569" s="568" t="s">
        <v>3298</v>
      </c>
      <c r="D2569" s="567">
        <v>8315</v>
      </c>
      <c r="E2569" s="567">
        <v>108</v>
      </c>
      <c r="F2569" s="567">
        <v>14</v>
      </c>
      <c r="G2569" s="567">
        <v>425</v>
      </c>
      <c r="H2569" s="567">
        <v>4170</v>
      </c>
      <c r="O2569"/>
    </row>
    <row r="2570" spans="1:15" x14ac:dyDescent="0.2">
      <c r="A2570" s="567">
        <v>2891</v>
      </c>
      <c r="B2570" s="568" t="s">
        <v>3284</v>
      </c>
      <c r="C2570" s="568" t="s">
        <v>3299</v>
      </c>
      <c r="D2570" s="567">
        <v>8316</v>
      </c>
      <c r="E2570" s="567">
        <v>108</v>
      </c>
      <c r="F2570" s="567">
        <v>14</v>
      </c>
      <c r="G2570" s="567">
        <v>425</v>
      </c>
      <c r="H2570" s="567">
        <v>4170</v>
      </c>
      <c r="O2570"/>
    </row>
    <row r="2571" spans="1:15" x14ac:dyDescent="0.2">
      <c r="A2571" s="567">
        <v>2892</v>
      </c>
      <c r="B2571" s="568" t="s">
        <v>3284</v>
      </c>
      <c r="C2571" s="568" t="s">
        <v>3300</v>
      </c>
      <c r="D2571" s="567">
        <v>8317</v>
      </c>
      <c r="E2571" s="567">
        <v>108</v>
      </c>
      <c r="F2571" s="567">
        <v>14</v>
      </c>
      <c r="G2571" s="567">
        <v>425</v>
      </c>
      <c r="H2571" s="567">
        <v>4170</v>
      </c>
      <c r="O2571"/>
    </row>
    <row r="2572" spans="1:15" x14ac:dyDescent="0.2">
      <c r="A2572" s="567">
        <v>2885</v>
      </c>
      <c r="B2572" s="568" t="s">
        <v>3284</v>
      </c>
      <c r="C2572" s="568" t="s">
        <v>3284</v>
      </c>
      <c r="D2572" s="567">
        <v>8310</v>
      </c>
      <c r="E2572" s="567">
        <v>108</v>
      </c>
      <c r="F2572" s="567">
        <v>14</v>
      </c>
      <c r="G2572" s="567">
        <v>425</v>
      </c>
      <c r="H2572" s="567">
        <v>4170</v>
      </c>
      <c r="O2572"/>
    </row>
    <row r="2573" spans="1:15" x14ac:dyDescent="0.2">
      <c r="A2573" s="567">
        <v>2994</v>
      </c>
      <c r="B2573" s="568" t="s">
        <v>2676</v>
      </c>
      <c r="C2573" s="568" t="s">
        <v>2675</v>
      </c>
      <c r="D2573" s="567">
        <v>8625</v>
      </c>
      <c r="E2573" s="567">
        <v>134</v>
      </c>
      <c r="F2573" s="567">
        <v>11</v>
      </c>
      <c r="G2573" s="567">
        <v>426</v>
      </c>
      <c r="H2573" s="567">
        <v>4110</v>
      </c>
      <c r="O2573"/>
    </row>
    <row r="2574" spans="1:15" x14ac:dyDescent="0.2">
      <c r="A2574" s="567">
        <v>2989</v>
      </c>
      <c r="B2574" s="568" t="s">
        <v>2676</v>
      </c>
      <c r="C2574" s="568" t="s">
        <v>2681</v>
      </c>
      <c r="D2574" s="567">
        <v>8620</v>
      </c>
      <c r="E2574" s="567">
        <v>134</v>
      </c>
      <c r="F2574" s="567">
        <v>11</v>
      </c>
      <c r="G2574" s="567">
        <v>426</v>
      </c>
      <c r="H2574" s="567">
        <v>4110</v>
      </c>
      <c r="O2574"/>
    </row>
    <row r="2575" spans="1:15" x14ac:dyDescent="0.2">
      <c r="A2575" s="567">
        <v>2990</v>
      </c>
      <c r="B2575" s="568" t="s">
        <v>2676</v>
      </c>
      <c r="C2575" s="568" t="s">
        <v>2682</v>
      </c>
      <c r="D2575" s="567">
        <v>8621</v>
      </c>
      <c r="E2575" s="567">
        <v>134</v>
      </c>
      <c r="F2575" s="567">
        <v>11</v>
      </c>
      <c r="G2575" s="567">
        <v>426</v>
      </c>
      <c r="H2575" s="567">
        <v>4110</v>
      </c>
      <c r="O2575"/>
    </row>
    <row r="2576" spans="1:15" x14ac:dyDescent="0.2">
      <c r="A2576" s="567">
        <v>2991</v>
      </c>
      <c r="B2576" s="568" t="s">
        <v>2676</v>
      </c>
      <c r="C2576" s="568" t="s">
        <v>2683</v>
      </c>
      <c r="D2576" s="567">
        <v>8622</v>
      </c>
      <c r="E2576" s="567">
        <v>134</v>
      </c>
      <c r="F2576" s="567">
        <v>11</v>
      </c>
      <c r="G2576" s="567">
        <v>426</v>
      </c>
      <c r="H2576" s="567">
        <v>4110</v>
      </c>
      <c r="O2576"/>
    </row>
    <row r="2577" spans="1:15" x14ac:dyDescent="0.2">
      <c r="A2577" s="567">
        <v>2993</v>
      </c>
      <c r="B2577" s="568" t="s">
        <v>2676</v>
      </c>
      <c r="C2577" s="568" t="s">
        <v>2686</v>
      </c>
      <c r="D2577" s="567">
        <v>8624</v>
      </c>
      <c r="E2577" s="567">
        <v>134</v>
      </c>
      <c r="F2577" s="567">
        <v>11</v>
      </c>
      <c r="G2577" s="567">
        <v>426</v>
      </c>
      <c r="H2577" s="567">
        <v>4110</v>
      </c>
      <c r="O2577"/>
    </row>
    <row r="2578" spans="1:15" x14ac:dyDescent="0.2">
      <c r="A2578" s="567">
        <v>2995</v>
      </c>
      <c r="B2578" s="568" t="s">
        <v>2676</v>
      </c>
      <c r="C2578" s="568" t="s">
        <v>2688</v>
      </c>
      <c r="D2578" s="567">
        <v>8626</v>
      </c>
      <c r="E2578" s="567">
        <v>134</v>
      </c>
      <c r="F2578" s="567">
        <v>11</v>
      </c>
      <c r="G2578" s="567">
        <v>426</v>
      </c>
      <c r="H2578" s="567">
        <v>4110</v>
      </c>
      <c r="O2578"/>
    </row>
    <row r="2579" spans="1:15" x14ac:dyDescent="0.2">
      <c r="A2579" s="567">
        <v>2992</v>
      </c>
      <c r="B2579" s="568" t="s">
        <v>2676</v>
      </c>
      <c r="C2579" s="568" t="s">
        <v>2691</v>
      </c>
      <c r="D2579" s="567">
        <v>8623</v>
      </c>
      <c r="E2579" s="567">
        <v>134</v>
      </c>
      <c r="F2579" s="567">
        <v>11</v>
      </c>
      <c r="G2579" s="567">
        <v>426</v>
      </c>
      <c r="H2579" s="567">
        <v>4110</v>
      </c>
      <c r="O2579"/>
    </row>
    <row r="2580" spans="1:15" x14ac:dyDescent="0.2">
      <c r="A2580" s="567">
        <v>2039</v>
      </c>
      <c r="B2580" s="568" t="s">
        <v>2403</v>
      </c>
      <c r="C2580" s="568" t="s">
        <v>2319</v>
      </c>
      <c r="D2580" s="567">
        <v>5781</v>
      </c>
      <c r="E2580" s="567">
        <v>50</v>
      </c>
      <c r="F2580" s="567">
        <v>6</v>
      </c>
      <c r="G2580" s="567">
        <v>325</v>
      </c>
      <c r="H2580" s="567">
        <v>3160</v>
      </c>
      <c r="O2580"/>
    </row>
    <row r="2581" spans="1:15" x14ac:dyDescent="0.2">
      <c r="A2581" s="567">
        <v>2038</v>
      </c>
      <c r="B2581" s="568" t="s">
        <v>2403</v>
      </c>
      <c r="C2581" s="568" t="s">
        <v>2403</v>
      </c>
      <c r="D2581" s="567">
        <v>5780</v>
      </c>
      <c r="E2581" s="567">
        <v>50</v>
      </c>
      <c r="F2581" s="567">
        <v>6</v>
      </c>
      <c r="G2581" s="567">
        <v>325</v>
      </c>
      <c r="H2581" s="567">
        <v>3160</v>
      </c>
      <c r="O2581"/>
    </row>
    <row r="2582" spans="1:15" x14ac:dyDescent="0.2">
      <c r="A2582" s="567">
        <v>2040</v>
      </c>
      <c r="B2582" s="568" t="s">
        <v>2395</v>
      </c>
      <c r="C2582" s="568" t="s">
        <v>2395</v>
      </c>
      <c r="D2582" s="567">
        <v>5790</v>
      </c>
      <c r="E2582" s="567">
        <v>51</v>
      </c>
      <c r="F2582" s="567">
        <v>6</v>
      </c>
      <c r="G2582" s="567">
        <v>325</v>
      </c>
      <c r="H2582" s="567">
        <v>3160</v>
      </c>
      <c r="O2582"/>
    </row>
    <row r="2583" spans="1:15" x14ac:dyDescent="0.2">
      <c r="A2583" s="567">
        <v>2041</v>
      </c>
      <c r="B2583" s="568" t="s">
        <v>2395</v>
      </c>
      <c r="C2583" s="568" t="s">
        <v>2401</v>
      </c>
      <c r="D2583" s="567">
        <v>5791</v>
      </c>
      <c r="E2583" s="567">
        <v>51</v>
      </c>
      <c r="F2583" s="567">
        <v>6</v>
      </c>
      <c r="G2583" s="567">
        <v>325</v>
      </c>
      <c r="H2583" s="567">
        <v>3160</v>
      </c>
      <c r="O2583"/>
    </row>
    <row r="2584" spans="1:15" x14ac:dyDescent="0.2">
      <c r="A2584" s="567">
        <v>793</v>
      </c>
      <c r="B2584" s="568" t="s">
        <v>844</v>
      </c>
      <c r="C2584" s="568" t="s">
        <v>844</v>
      </c>
      <c r="D2584" s="567">
        <v>1915</v>
      </c>
      <c r="E2584" s="567">
        <v>63</v>
      </c>
      <c r="F2584" s="567">
        <v>2</v>
      </c>
      <c r="G2584" s="567">
        <v>116</v>
      </c>
      <c r="H2584" s="567">
        <v>1180</v>
      </c>
      <c r="O2584"/>
    </row>
    <row r="2585" spans="1:15" x14ac:dyDescent="0.2">
      <c r="A2585" s="567">
        <v>830</v>
      </c>
      <c r="B2585" s="568" t="s">
        <v>460</v>
      </c>
      <c r="C2585" s="568" t="s">
        <v>460</v>
      </c>
      <c r="D2585" s="567">
        <v>2060</v>
      </c>
      <c r="E2585" s="567">
        <v>43</v>
      </c>
      <c r="F2585" s="567">
        <v>18</v>
      </c>
      <c r="G2585" s="567">
        <v>117</v>
      </c>
      <c r="H2585" s="567">
        <v>1130</v>
      </c>
      <c r="O2585"/>
    </row>
    <row r="2586" spans="1:15" x14ac:dyDescent="0.2">
      <c r="A2586" s="567">
        <v>2495</v>
      </c>
      <c r="B2586" s="568" t="s">
        <v>2087</v>
      </c>
      <c r="C2586" s="568" t="s">
        <v>2087</v>
      </c>
      <c r="D2586" s="567">
        <v>7180</v>
      </c>
      <c r="E2586" s="567">
        <v>78</v>
      </c>
      <c r="F2586" s="567">
        <v>3</v>
      </c>
      <c r="G2586" s="567">
        <v>336</v>
      </c>
      <c r="H2586" s="567">
        <v>3130</v>
      </c>
      <c r="O2586"/>
    </row>
    <row r="2587" spans="1:15" x14ac:dyDescent="0.2">
      <c r="A2587" s="567">
        <v>2496</v>
      </c>
      <c r="B2587" s="568" t="s">
        <v>2087</v>
      </c>
      <c r="C2587" s="568" t="s">
        <v>2110</v>
      </c>
      <c r="D2587" s="567">
        <v>7181</v>
      </c>
      <c r="E2587" s="567">
        <v>78</v>
      </c>
      <c r="F2587" s="567">
        <v>3</v>
      </c>
      <c r="G2587" s="567">
        <v>336</v>
      </c>
      <c r="H2587" s="567">
        <v>3130</v>
      </c>
      <c r="O2587"/>
    </row>
    <row r="2588" spans="1:15" x14ac:dyDescent="0.2">
      <c r="A2588" s="567">
        <v>2497</v>
      </c>
      <c r="B2588" s="568" t="s">
        <v>2087</v>
      </c>
      <c r="C2588" s="568" t="s">
        <v>2111</v>
      </c>
      <c r="D2588" s="567">
        <v>7182</v>
      </c>
      <c r="E2588" s="567">
        <v>78</v>
      </c>
      <c r="F2588" s="567">
        <v>3</v>
      </c>
      <c r="G2588" s="567">
        <v>336</v>
      </c>
      <c r="H2588" s="567">
        <v>3130</v>
      </c>
      <c r="O2588"/>
    </row>
    <row r="2589" spans="1:15" x14ac:dyDescent="0.2">
      <c r="A2589" s="567">
        <v>2498</v>
      </c>
      <c r="B2589" s="568" t="s">
        <v>2087</v>
      </c>
      <c r="C2589" s="568" t="s">
        <v>2112</v>
      </c>
      <c r="D2589" s="567">
        <v>7183</v>
      </c>
      <c r="E2589" s="567">
        <v>78</v>
      </c>
      <c r="F2589" s="567">
        <v>3</v>
      </c>
      <c r="G2589" s="567">
        <v>336</v>
      </c>
      <c r="H2589" s="567">
        <v>3130</v>
      </c>
      <c r="O2589"/>
    </row>
    <row r="2590" spans="1:15" x14ac:dyDescent="0.2">
      <c r="A2590" s="567">
        <v>2499</v>
      </c>
      <c r="B2590" s="568" t="s">
        <v>2087</v>
      </c>
      <c r="C2590" s="568" t="s">
        <v>2113</v>
      </c>
      <c r="D2590" s="567">
        <v>7184</v>
      </c>
      <c r="E2590" s="567">
        <v>78</v>
      </c>
      <c r="F2590" s="567">
        <v>3</v>
      </c>
      <c r="G2590" s="567">
        <v>336</v>
      </c>
      <c r="H2590" s="567">
        <v>3130</v>
      </c>
      <c r="O2590"/>
    </row>
    <row r="2591" spans="1:15" x14ac:dyDescent="0.2">
      <c r="A2591" s="567">
        <v>3297</v>
      </c>
      <c r="B2591" s="568" t="s">
        <v>2822</v>
      </c>
      <c r="C2591" s="568" t="s">
        <v>2822</v>
      </c>
      <c r="D2591" s="567">
        <v>9610</v>
      </c>
      <c r="E2591" s="567">
        <v>69</v>
      </c>
      <c r="F2591" s="567">
        <v>11</v>
      </c>
      <c r="G2591" s="567">
        <v>436</v>
      </c>
      <c r="H2591" s="567">
        <v>4120</v>
      </c>
      <c r="O2591"/>
    </row>
    <row r="2592" spans="1:15" x14ac:dyDescent="0.2">
      <c r="A2592" s="567">
        <v>817</v>
      </c>
      <c r="B2592" s="568" t="s">
        <v>417</v>
      </c>
      <c r="C2592" s="568" t="s">
        <v>417</v>
      </c>
      <c r="D2592" s="567">
        <v>2020</v>
      </c>
      <c r="E2592" s="567">
        <v>44</v>
      </c>
      <c r="F2592" s="567">
        <v>18</v>
      </c>
      <c r="G2592" s="567">
        <v>117</v>
      </c>
      <c r="H2592" s="567">
        <v>1130</v>
      </c>
      <c r="O2592"/>
    </row>
    <row r="2593" spans="1:15" x14ac:dyDescent="0.2">
      <c r="A2593" s="567">
        <v>1988</v>
      </c>
      <c r="B2593" s="568" t="s">
        <v>1959</v>
      </c>
      <c r="C2593" s="568" t="s">
        <v>1763</v>
      </c>
      <c r="D2593" s="567">
        <v>5643</v>
      </c>
      <c r="E2593" s="567">
        <v>102</v>
      </c>
      <c r="F2593" s="567">
        <v>6</v>
      </c>
      <c r="G2593" s="567">
        <v>315</v>
      </c>
      <c r="H2593" s="567">
        <v>3120</v>
      </c>
      <c r="O2593"/>
    </row>
    <row r="2594" spans="1:15" x14ac:dyDescent="0.2">
      <c r="A2594" s="567">
        <v>1989</v>
      </c>
      <c r="B2594" s="568" t="s">
        <v>1959</v>
      </c>
      <c r="C2594" s="568" t="s">
        <v>1803</v>
      </c>
      <c r="D2594" s="567">
        <v>5644</v>
      </c>
      <c r="E2594" s="567">
        <v>102</v>
      </c>
      <c r="F2594" s="567">
        <v>6</v>
      </c>
      <c r="G2594" s="567">
        <v>315</v>
      </c>
      <c r="H2594" s="567">
        <v>3120</v>
      </c>
      <c r="O2594"/>
    </row>
    <row r="2595" spans="1:15" x14ac:dyDescent="0.2">
      <c r="A2595" s="567">
        <v>1987</v>
      </c>
      <c r="B2595" s="568" t="s">
        <v>1959</v>
      </c>
      <c r="C2595" s="568" t="s">
        <v>1967</v>
      </c>
      <c r="D2595" s="567">
        <v>5642</v>
      </c>
      <c r="E2595" s="567">
        <v>102</v>
      </c>
      <c r="F2595" s="567">
        <v>6</v>
      </c>
      <c r="G2595" s="567">
        <v>315</v>
      </c>
      <c r="H2595" s="567">
        <v>3120</v>
      </c>
      <c r="O2595"/>
    </row>
    <row r="2596" spans="1:15" x14ac:dyDescent="0.2">
      <c r="A2596" s="567">
        <v>1986</v>
      </c>
      <c r="B2596" s="568" t="s">
        <v>1959</v>
      </c>
      <c r="C2596" s="568" t="s">
        <v>1989</v>
      </c>
      <c r="D2596" s="567">
        <v>5641</v>
      </c>
      <c r="E2596" s="567">
        <v>102</v>
      </c>
      <c r="F2596" s="567">
        <v>6</v>
      </c>
      <c r="G2596" s="567">
        <v>315</v>
      </c>
      <c r="H2596" s="567">
        <v>3120</v>
      </c>
      <c r="O2596"/>
    </row>
    <row r="2597" spans="1:15" x14ac:dyDescent="0.2">
      <c r="A2597" s="567">
        <v>1985</v>
      </c>
      <c r="B2597" s="568" t="s">
        <v>1959</v>
      </c>
      <c r="C2597" s="568" t="s">
        <v>1959</v>
      </c>
      <c r="D2597" s="567">
        <v>5640</v>
      </c>
      <c r="E2597" s="567">
        <v>102</v>
      </c>
      <c r="F2597" s="567">
        <v>6</v>
      </c>
      <c r="G2597" s="567">
        <v>315</v>
      </c>
      <c r="H2597" s="567">
        <v>3120</v>
      </c>
      <c r="O2597"/>
    </row>
    <row r="2598" spans="1:15" x14ac:dyDescent="0.2">
      <c r="A2598" s="567">
        <v>2932</v>
      </c>
      <c r="B2598" s="568" t="s">
        <v>3182</v>
      </c>
      <c r="C2598" s="568" t="s">
        <v>3182</v>
      </c>
      <c r="D2598" s="567">
        <v>8425</v>
      </c>
      <c r="E2598" s="567">
        <v>110</v>
      </c>
      <c r="F2598" s="567">
        <v>12</v>
      </c>
      <c r="G2598" s="567">
        <v>425</v>
      </c>
      <c r="H2598" s="567">
        <v>4170</v>
      </c>
      <c r="O2598"/>
    </row>
    <row r="2599" spans="1:15" x14ac:dyDescent="0.2">
      <c r="A2599" s="567">
        <v>1494</v>
      </c>
      <c r="B2599" s="568" t="s">
        <v>1206</v>
      </c>
      <c r="C2599" s="568" t="s">
        <v>1206</v>
      </c>
      <c r="D2599" s="567">
        <v>4100</v>
      </c>
      <c r="E2599" s="567">
        <v>65</v>
      </c>
      <c r="F2599" s="567">
        <v>7</v>
      </c>
      <c r="G2599" s="567">
        <v>235</v>
      </c>
      <c r="H2599" s="567">
        <v>2160</v>
      </c>
      <c r="O2599"/>
    </row>
    <row r="2600" spans="1:15" x14ac:dyDescent="0.2">
      <c r="A2600" s="567">
        <v>1496</v>
      </c>
      <c r="B2600" s="568" t="s">
        <v>1206</v>
      </c>
      <c r="C2600" s="568" t="s">
        <v>1159</v>
      </c>
      <c r="D2600" s="567">
        <v>4102</v>
      </c>
      <c r="E2600" s="567">
        <v>65</v>
      </c>
      <c r="F2600" s="567">
        <v>7</v>
      </c>
      <c r="G2600" s="567">
        <v>235</v>
      </c>
      <c r="H2600" s="567">
        <v>2160</v>
      </c>
      <c r="O2600"/>
    </row>
    <row r="2601" spans="1:15" x14ac:dyDescent="0.2">
      <c r="A2601" s="567">
        <v>1497</v>
      </c>
      <c r="B2601" s="568" t="s">
        <v>1206</v>
      </c>
      <c r="C2601" s="568" t="s">
        <v>1638</v>
      </c>
      <c r="D2601" s="567">
        <v>4103</v>
      </c>
      <c r="E2601" s="567">
        <v>65</v>
      </c>
      <c r="F2601" s="567">
        <v>7</v>
      </c>
      <c r="G2601" s="567">
        <v>235</v>
      </c>
      <c r="H2601" s="567">
        <v>2160</v>
      </c>
      <c r="O2601"/>
    </row>
    <row r="2602" spans="1:15" x14ac:dyDescent="0.2">
      <c r="A2602" s="567">
        <v>1498</v>
      </c>
      <c r="B2602" s="568" t="s">
        <v>1206</v>
      </c>
      <c r="C2602" s="568" t="s">
        <v>1226</v>
      </c>
      <c r="D2602" s="567">
        <v>4104</v>
      </c>
      <c r="E2602" s="567">
        <v>65</v>
      </c>
      <c r="F2602" s="567">
        <v>7</v>
      </c>
      <c r="G2602" s="567">
        <v>235</v>
      </c>
      <c r="H2602" s="567">
        <v>2160</v>
      </c>
      <c r="O2602"/>
    </row>
    <row r="2603" spans="1:15" x14ac:dyDescent="0.2">
      <c r="A2603" s="567">
        <v>1495</v>
      </c>
      <c r="B2603" s="568" t="s">
        <v>1206</v>
      </c>
      <c r="C2603" s="568" t="s">
        <v>1641</v>
      </c>
      <c r="D2603" s="567">
        <v>4101</v>
      </c>
      <c r="E2603" s="567">
        <v>65</v>
      </c>
      <c r="F2603" s="567">
        <v>7</v>
      </c>
      <c r="G2603" s="567">
        <v>235</v>
      </c>
      <c r="H2603" s="567">
        <v>2160</v>
      </c>
      <c r="O2603"/>
    </row>
    <row r="2604" spans="1:15" x14ac:dyDescent="0.2">
      <c r="A2604" s="567">
        <v>2805</v>
      </c>
      <c r="B2604" s="568" t="s">
        <v>1206</v>
      </c>
      <c r="C2604" s="568" t="s">
        <v>1206</v>
      </c>
      <c r="D2604" s="567">
        <v>8040</v>
      </c>
      <c r="E2604" s="567">
        <v>57</v>
      </c>
      <c r="F2604" s="567">
        <v>16</v>
      </c>
      <c r="G2604" s="567">
        <v>417</v>
      </c>
      <c r="H2604" s="567">
        <v>4100</v>
      </c>
      <c r="O2604"/>
    </row>
    <row r="2605" spans="1:15" x14ac:dyDescent="0.2">
      <c r="A2605" s="567">
        <v>2806</v>
      </c>
      <c r="B2605" s="568" t="s">
        <v>1206</v>
      </c>
      <c r="C2605" s="568" t="s">
        <v>2623</v>
      </c>
      <c r="D2605" s="567">
        <v>8041</v>
      </c>
      <c r="E2605" s="567">
        <v>57</v>
      </c>
      <c r="F2605" s="567">
        <v>16</v>
      </c>
      <c r="G2605" s="567">
        <v>417</v>
      </c>
      <c r="H2605" s="567">
        <v>4100</v>
      </c>
      <c r="O2605"/>
    </row>
    <row r="2606" spans="1:15" x14ac:dyDescent="0.2">
      <c r="A2606" s="567">
        <v>2089</v>
      </c>
      <c r="B2606" s="568" t="s">
        <v>1756</v>
      </c>
      <c r="C2606" s="568" t="s">
        <v>1755</v>
      </c>
      <c r="D2606" s="567">
        <v>5970</v>
      </c>
      <c r="E2606" s="567">
        <v>55</v>
      </c>
      <c r="F2606" s="567">
        <v>6</v>
      </c>
      <c r="G2606" s="567">
        <v>326</v>
      </c>
      <c r="H2606" s="567">
        <v>3100</v>
      </c>
      <c r="O2606"/>
    </row>
    <row r="2607" spans="1:15" x14ac:dyDescent="0.2">
      <c r="A2607" s="567">
        <v>707</v>
      </c>
      <c r="B2607" s="568" t="s">
        <v>689</v>
      </c>
      <c r="C2607" s="568" t="s">
        <v>689</v>
      </c>
      <c r="D2607" s="567">
        <v>1585</v>
      </c>
      <c r="E2607" s="567">
        <v>44</v>
      </c>
      <c r="F2607" s="567">
        <v>2</v>
      </c>
      <c r="G2607" s="567">
        <v>115</v>
      </c>
      <c r="H2607" s="567">
        <v>1161</v>
      </c>
      <c r="O2607"/>
    </row>
    <row r="2608" spans="1:15" x14ac:dyDescent="0.2">
      <c r="A2608" s="567">
        <v>1153</v>
      </c>
      <c r="B2608" s="568" t="s">
        <v>1363</v>
      </c>
      <c r="C2608" s="568" t="s">
        <v>1363</v>
      </c>
      <c r="D2608" s="567">
        <v>3015</v>
      </c>
      <c r="E2608" s="567">
        <v>80</v>
      </c>
      <c r="F2608" s="567">
        <v>19</v>
      </c>
      <c r="G2608" s="567">
        <v>226</v>
      </c>
      <c r="H2608" s="567">
        <v>2130</v>
      </c>
      <c r="O2608"/>
    </row>
    <row r="2609" spans="1:15" x14ac:dyDescent="0.2">
      <c r="A2609" s="567">
        <v>1154</v>
      </c>
      <c r="B2609" s="568" t="s">
        <v>1363</v>
      </c>
      <c r="C2609" s="568" t="s">
        <v>1365</v>
      </c>
      <c r="D2609" s="567">
        <v>3016</v>
      </c>
      <c r="E2609" s="567">
        <v>80</v>
      </c>
      <c r="F2609" s="567">
        <v>19</v>
      </c>
      <c r="G2609" s="567">
        <v>226</v>
      </c>
      <c r="H2609" s="567">
        <v>2130</v>
      </c>
      <c r="O2609"/>
    </row>
    <row r="2610" spans="1:15" x14ac:dyDescent="0.2">
      <c r="A2610" s="567">
        <v>2483</v>
      </c>
      <c r="B2610" s="568" t="s">
        <v>2088</v>
      </c>
      <c r="C2610" s="568" t="s">
        <v>1363</v>
      </c>
      <c r="D2610" s="567">
        <v>7120</v>
      </c>
      <c r="E2610" s="567">
        <v>79</v>
      </c>
      <c r="F2610" s="567">
        <v>6</v>
      </c>
      <c r="G2610" s="567">
        <v>336</v>
      </c>
      <c r="H2610" s="567">
        <v>3130</v>
      </c>
      <c r="O2610"/>
    </row>
    <row r="2611" spans="1:15" x14ac:dyDescent="0.2">
      <c r="A2611" s="567">
        <v>1164</v>
      </c>
      <c r="B2611" s="568" t="s">
        <v>1401</v>
      </c>
      <c r="C2611" s="568" t="s">
        <v>1400</v>
      </c>
      <c r="D2611" s="567">
        <v>3043</v>
      </c>
      <c r="E2611" s="567">
        <v>81</v>
      </c>
      <c r="F2611" s="567">
        <v>21</v>
      </c>
      <c r="G2611" s="567">
        <v>226</v>
      </c>
      <c r="H2611" s="567">
        <v>2130</v>
      </c>
      <c r="O2611"/>
    </row>
    <row r="2612" spans="1:15" x14ac:dyDescent="0.2">
      <c r="A2612" s="567">
        <v>1163</v>
      </c>
      <c r="B2612" s="568" t="s">
        <v>1401</v>
      </c>
      <c r="C2612" s="568" t="s">
        <v>1402</v>
      </c>
      <c r="D2612" s="567">
        <v>3042</v>
      </c>
      <c r="E2612" s="567">
        <v>81</v>
      </c>
      <c r="F2612" s="567">
        <v>21</v>
      </c>
      <c r="G2612" s="567">
        <v>226</v>
      </c>
      <c r="H2612" s="567">
        <v>2130</v>
      </c>
      <c r="O2612"/>
    </row>
    <row r="2613" spans="1:15" x14ac:dyDescent="0.2">
      <c r="A2613" s="567">
        <v>1162</v>
      </c>
      <c r="B2613" s="568" t="s">
        <v>1401</v>
      </c>
      <c r="C2613" s="568" t="s">
        <v>1403</v>
      </c>
      <c r="D2613" s="567">
        <v>3041</v>
      </c>
      <c r="E2613" s="567">
        <v>81</v>
      </c>
      <c r="F2613" s="567">
        <v>21</v>
      </c>
      <c r="G2613" s="567">
        <v>226</v>
      </c>
      <c r="H2613" s="567">
        <v>2130</v>
      </c>
      <c r="O2613"/>
    </row>
    <row r="2614" spans="1:15" x14ac:dyDescent="0.2">
      <c r="A2614" s="567">
        <v>1161</v>
      </c>
      <c r="B2614" s="568" t="s">
        <v>1401</v>
      </c>
      <c r="C2614" s="568" t="s">
        <v>1401</v>
      </c>
      <c r="D2614" s="567">
        <v>3040</v>
      </c>
      <c r="E2614" s="567">
        <v>81</v>
      </c>
      <c r="F2614" s="567">
        <v>21</v>
      </c>
      <c r="G2614" s="567">
        <v>226</v>
      </c>
      <c r="H2614" s="567">
        <v>2130</v>
      </c>
      <c r="O2614"/>
    </row>
    <row r="2615" spans="1:15" x14ac:dyDescent="0.2">
      <c r="A2615" s="567">
        <v>2481</v>
      </c>
      <c r="B2615" s="568" t="s">
        <v>2062</v>
      </c>
      <c r="C2615" s="568" t="s">
        <v>2062</v>
      </c>
      <c r="D2615" s="567">
        <v>7110</v>
      </c>
      <c r="E2615" s="567">
        <v>80</v>
      </c>
      <c r="F2615" s="567">
        <v>6</v>
      </c>
      <c r="G2615" s="567">
        <v>336</v>
      </c>
      <c r="H2615" s="567">
        <v>3130</v>
      </c>
      <c r="O2615"/>
    </row>
    <row r="2616" spans="1:15" x14ac:dyDescent="0.2">
      <c r="A2616" s="567">
        <v>162</v>
      </c>
      <c r="B2616" s="568" t="s">
        <v>905</v>
      </c>
      <c r="C2616" s="568" t="s">
        <v>905</v>
      </c>
      <c r="D2616" s="567">
        <v>255</v>
      </c>
      <c r="E2616" s="567">
        <v>72</v>
      </c>
      <c r="F2616" s="567">
        <v>21</v>
      </c>
      <c r="G2616" s="567">
        <v>126</v>
      </c>
      <c r="H2616" s="567">
        <v>1190</v>
      </c>
      <c r="O2616"/>
    </row>
    <row r="2617" spans="1:15" x14ac:dyDescent="0.2">
      <c r="A2617" s="567">
        <v>163</v>
      </c>
      <c r="B2617" s="568" t="s">
        <v>905</v>
      </c>
      <c r="C2617" s="568" t="s">
        <v>911</v>
      </c>
      <c r="D2617" s="567">
        <v>256</v>
      </c>
      <c r="E2617" s="567">
        <v>72</v>
      </c>
      <c r="F2617" s="567">
        <v>21</v>
      </c>
      <c r="G2617" s="567">
        <v>126</v>
      </c>
      <c r="H2617" s="567">
        <v>1190</v>
      </c>
      <c r="O2617"/>
    </row>
    <row r="2618" spans="1:15" x14ac:dyDescent="0.2">
      <c r="A2618" s="567">
        <v>165</v>
      </c>
      <c r="B2618" s="568" t="s">
        <v>905</v>
      </c>
      <c r="C2618" s="568" t="s">
        <v>912</v>
      </c>
      <c r="D2618" s="567">
        <v>258</v>
      </c>
      <c r="E2618" s="567">
        <v>72</v>
      </c>
      <c r="F2618" s="567">
        <v>21</v>
      </c>
      <c r="G2618" s="567">
        <v>126</v>
      </c>
      <c r="H2618" s="567">
        <v>1190</v>
      </c>
      <c r="O2618"/>
    </row>
    <row r="2619" spans="1:15" x14ac:dyDescent="0.2">
      <c r="A2619" s="567">
        <v>164</v>
      </c>
      <c r="B2619" s="568" t="s">
        <v>905</v>
      </c>
      <c r="C2619" s="568" t="s">
        <v>916</v>
      </c>
      <c r="D2619" s="567">
        <v>257</v>
      </c>
      <c r="E2619" s="567">
        <v>72</v>
      </c>
      <c r="F2619" s="567">
        <v>21</v>
      </c>
      <c r="G2619" s="567">
        <v>126</v>
      </c>
      <c r="H2619" s="567">
        <v>1190</v>
      </c>
      <c r="O2619"/>
    </row>
    <row r="2620" spans="1:15" x14ac:dyDescent="0.2">
      <c r="A2620" s="567">
        <v>166</v>
      </c>
      <c r="B2620" s="568" t="s">
        <v>905</v>
      </c>
      <c r="C2620" s="568" t="s">
        <v>942</v>
      </c>
      <c r="D2620" s="567">
        <v>259</v>
      </c>
      <c r="E2620" s="567">
        <v>72</v>
      </c>
      <c r="F2620" s="567">
        <v>21</v>
      </c>
      <c r="G2620" s="567">
        <v>126</v>
      </c>
      <c r="H2620" s="567">
        <v>1190</v>
      </c>
      <c r="O2620"/>
    </row>
    <row r="2621" spans="1:15" x14ac:dyDescent="0.2">
      <c r="A2621" s="567">
        <v>167</v>
      </c>
      <c r="B2621" s="568" t="s">
        <v>905</v>
      </c>
      <c r="C2621" s="568" t="s">
        <v>943</v>
      </c>
      <c r="D2621" s="567">
        <v>260</v>
      </c>
      <c r="E2621" s="567">
        <v>72</v>
      </c>
      <c r="F2621" s="567">
        <v>21</v>
      </c>
      <c r="G2621" s="567">
        <v>126</v>
      </c>
      <c r="H2621" s="567">
        <v>1190</v>
      </c>
      <c r="O2621"/>
    </row>
    <row r="2622" spans="1:15" x14ac:dyDescent="0.2">
      <c r="A2622" s="567">
        <v>168</v>
      </c>
      <c r="B2622" s="568" t="s">
        <v>905</v>
      </c>
      <c r="C2622" s="568" t="s">
        <v>944</v>
      </c>
      <c r="D2622" s="567">
        <v>261</v>
      </c>
      <c r="E2622" s="567">
        <v>72</v>
      </c>
      <c r="F2622" s="567">
        <v>21</v>
      </c>
      <c r="G2622" s="567">
        <v>126</v>
      </c>
      <c r="H2622" s="567">
        <v>1190</v>
      </c>
      <c r="O2622"/>
    </row>
    <row r="2623" spans="1:15" x14ac:dyDescent="0.2">
      <c r="A2623" s="567">
        <v>169</v>
      </c>
      <c r="B2623" s="568" t="s">
        <v>905</v>
      </c>
      <c r="C2623" s="568" t="s">
        <v>945</v>
      </c>
      <c r="D2623" s="567">
        <v>262</v>
      </c>
      <c r="E2623" s="567">
        <v>72</v>
      </c>
      <c r="F2623" s="567">
        <v>21</v>
      </c>
      <c r="G2623" s="567">
        <v>126</v>
      </c>
      <c r="H2623" s="567">
        <v>1190</v>
      </c>
      <c r="O2623"/>
    </row>
    <row r="2624" spans="1:15" x14ac:dyDescent="0.2">
      <c r="A2624" s="567">
        <v>170</v>
      </c>
      <c r="B2624" s="568" t="s">
        <v>905</v>
      </c>
      <c r="C2624" s="568" t="s">
        <v>946</v>
      </c>
      <c r="D2624" s="567">
        <v>263</v>
      </c>
      <c r="E2624" s="567">
        <v>72</v>
      </c>
      <c r="F2624" s="567">
        <v>21</v>
      </c>
      <c r="G2624" s="567">
        <v>126</v>
      </c>
      <c r="H2624" s="567">
        <v>1190</v>
      </c>
      <c r="O2624"/>
    </row>
    <row r="2625" spans="1:15" x14ac:dyDescent="0.2">
      <c r="A2625" s="567">
        <v>2093</v>
      </c>
      <c r="B2625" s="568" t="s">
        <v>1762</v>
      </c>
      <c r="C2625" s="568" t="s">
        <v>1761</v>
      </c>
      <c r="D2625" s="567">
        <v>5990</v>
      </c>
      <c r="E2625" s="567">
        <v>54</v>
      </c>
      <c r="F2625" s="567">
        <v>6</v>
      </c>
      <c r="G2625" s="567">
        <v>326</v>
      </c>
      <c r="H2625" s="567">
        <v>3100</v>
      </c>
      <c r="O2625"/>
    </row>
    <row r="2626" spans="1:15" x14ac:dyDescent="0.2">
      <c r="A2626" s="567">
        <v>2530</v>
      </c>
      <c r="B2626" s="568" t="s">
        <v>2029</v>
      </c>
      <c r="C2626" s="568" t="s">
        <v>2028</v>
      </c>
      <c r="D2626" s="567">
        <v>7257</v>
      </c>
      <c r="E2626" s="567">
        <v>81</v>
      </c>
      <c r="F2626" s="567">
        <v>5</v>
      </c>
      <c r="G2626" s="567">
        <v>336</v>
      </c>
      <c r="H2626" s="567">
        <v>3130</v>
      </c>
      <c r="O2626"/>
    </row>
    <row r="2627" spans="1:15" x14ac:dyDescent="0.2">
      <c r="A2627" s="567">
        <v>2529</v>
      </c>
      <c r="B2627" s="568" t="s">
        <v>2029</v>
      </c>
      <c r="C2627" s="568" t="s">
        <v>2030</v>
      </c>
      <c r="D2627" s="567">
        <v>7256</v>
      </c>
      <c r="E2627" s="567">
        <v>81</v>
      </c>
      <c r="F2627" s="567">
        <v>5</v>
      </c>
      <c r="G2627" s="567">
        <v>336</v>
      </c>
      <c r="H2627" s="567">
        <v>3130</v>
      </c>
      <c r="O2627"/>
    </row>
    <row r="2628" spans="1:15" x14ac:dyDescent="0.2">
      <c r="A2628" s="567">
        <v>2528</v>
      </c>
      <c r="B2628" s="568" t="s">
        <v>2029</v>
      </c>
      <c r="C2628" s="568" t="s">
        <v>2031</v>
      </c>
      <c r="D2628" s="567">
        <v>7255</v>
      </c>
      <c r="E2628" s="567">
        <v>81</v>
      </c>
      <c r="F2628" s="567">
        <v>5</v>
      </c>
      <c r="G2628" s="567">
        <v>336</v>
      </c>
      <c r="H2628" s="567">
        <v>3130</v>
      </c>
      <c r="O2628"/>
    </row>
    <row r="2629" spans="1:15" x14ac:dyDescent="0.2">
      <c r="A2629" s="567">
        <v>2526</v>
      </c>
      <c r="B2629" s="568" t="s">
        <v>2029</v>
      </c>
      <c r="C2629" s="568" t="s">
        <v>2032</v>
      </c>
      <c r="D2629" s="567">
        <v>7253</v>
      </c>
      <c r="E2629" s="567">
        <v>81</v>
      </c>
      <c r="F2629" s="567">
        <v>5</v>
      </c>
      <c r="G2629" s="567">
        <v>336</v>
      </c>
      <c r="H2629" s="567">
        <v>3130</v>
      </c>
      <c r="O2629"/>
    </row>
    <row r="2630" spans="1:15" x14ac:dyDescent="0.2">
      <c r="A2630" s="567">
        <v>2525</v>
      </c>
      <c r="B2630" s="568" t="s">
        <v>2029</v>
      </c>
      <c r="C2630" s="568" t="s">
        <v>2035</v>
      </c>
      <c r="D2630" s="567">
        <v>7252</v>
      </c>
      <c r="E2630" s="567">
        <v>81</v>
      </c>
      <c r="F2630" s="567">
        <v>5</v>
      </c>
      <c r="G2630" s="567">
        <v>336</v>
      </c>
      <c r="H2630" s="567">
        <v>3130</v>
      </c>
      <c r="O2630"/>
    </row>
    <row r="2631" spans="1:15" x14ac:dyDescent="0.2">
      <c r="A2631" s="567">
        <v>2527</v>
      </c>
      <c r="B2631" s="568" t="s">
        <v>2029</v>
      </c>
      <c r="C2631" s="568" t="s">
        <v>2036</v>
      </c>
      <c r="D2631" s="567">
        <v>7254</v>
      </c>
      <c r="E2631" s="567">
        <v>81</v>
      </c>
      <c r="F2631" s="567">
        <v>5</v>
      </c>
      <c r="G2631" s="567">
        <v>336</v>
      </c>
      <c r="H2631" s="567">
        <v>3130</v>
      </c>
      <c r="O2631"/>
    </row>
    <row r="2632" spans="1:15" x14ac:dyDescent="0.2">
      <c r="A2632" s="567">
        <v>2524</v>
      </c>
      <c r="B2632" s="568" t="s">
        <v>2029</v>
      </c>
      <c r="C2632" s="568" t="s">
        <v>2041</v>
      </c>
      <c r="D2632" s="567">
        <v>7251</v>
      </c>
      <c r="E2632" s="567">
        <v>81</v>
      </c>
      <c r="F2632" s="567">
        <v>5</v>
      </c>
      <c r="G2632" s="567">
        <v>336</v>
      </c>
      <c r="H2632" s="567">
        <v>3130</v>
      </c>
      <c r="O2632"/>
    </row>
    <row r="2633" spans="1:15" x14ac:dyDescent="0.2">
      <c r="A2633" s="567">
        <v>2523</v>
      </c>
      <c r="B2633" s="568" t="s">
        <v>2029</v>
      </c>
      <c r="C2633" s="568" t="s">
        <v>2029</v>
      </c>
      <c r="D2633" s="567">
        <v>7250</v>
      </c>
      <c r="E2633" s="567">
        <v>81</v>
      </c>
      <c r="F2633" s="567">
        <v>5</v>
      </c>
      <c r="G2633" s="567">
        <v>336</v>
      </c>
      <c r="H2633" s="567">
        <v>3130</v>
      </c>
      <c r="O2633"/>
    </row>
    <row r="2634" spans="1:15" x14ac:dyDescent="0.2">
      <c r="A2634" s="567">
        <v>1613</v>
      </c>
      <c r="B2634" s="568" t="s">
        <v>831</v>
      </c>
      <c r="C2634" s="568" t="s">
        <v>1234</v>
      </c>
      <c r="D2634" s="567">
        <v>4442</v>
      </c>
      <c r="E2634" s="567">
        <v>61</v>
      </c>
      <c r="F2634" s="567">
        <v>17</v>
      </c>
      <c r="G2634" s="567">
        <v>237</v>
      </c>
      <c r="H2634" s="567">
        <v>2110</v>
      </c>
      <c r="O2634"/>
    </row>
    <row r="2635" spans="1:15" x14ac:dyDescent="0.2">
      <c r="A2635" s="567">
        <v>1611</v>
      </c>
      <c r="B2635" s="568" t="s">
        <v>831</v>
      </c>
      <c r="C2635" s="568" t="s">
        <v>831</v>
      </c>
      <c r="D2635" s="567">
        <v>4440</v>
      </c>
      <c r="E2635" s="567">
        <v>61</v>
      </c>
      <c r="F2635" s="567">
        <v>17</v>
      </c>
      <c r="G2635" s="567">
        <v>237</v>
      </c>
      <c r="H2635" s="567">
        <v>2110</v>
      </c>
      <c r="O2635"/>
    </row>
    <row r="2636" spans="1:15" x14ac:dyDescent="0.2">
      <c r="A2636" s="567">
        <v>1612</v>
      </c>
      <c r="B2636" s="568" t="s">
        <v>831</v>
      </c>
      <c r="C2636" s="568" t="s">
        <v>1247</v>
      </c>
      <c r="D2636" s="567">
        <v>4441</v>
      </c>
      <c r="E2636" s="567">
        <v>61</v>
      </c>
      <c r="F2636" s="567">
        <v>17</v>
      </c>
      <c r="G2636" s="567">
        <v>237</v>
      </c>
      <c r="H2636" s="567">
        <v>2110</v>
      </c>
      <c r="O2636"/>
    </row>
    <row r="2637" spans="1:15" x14ac:dyDescent="0.2">
      <c r="A2637" s="567">
        <v>638</v>
      </c>
      <c r="B2637" s="568" t="s">
        <v>203</v>
      </c>
      <c r="C2637" s="568" t="s">
        <v>126</v>
      </c>
      <c r="D2637" s="567">
        <v>1407</v>
      </c>
      <c r="E2637" s="567">
        <v>67</v>
      </c>
      <c r="F2637" s="567">
        <v>2</v>
      </c>
      <c r="G2637" s="567">
        <v>119</v>
      </c>
      <c r="H2637" s="567">
        <v>1110</v>
      </c>
      <c r="O2637"/>
    </row>
    <row r="2638" spans="1:15" x14ac:dyDescent="0.2">
      <c r="A2638" s="567">
        <v>637</v>
      </c>
      <c r="B2638" s="568" t="s">
        <v>203</v>
      </c>
      <c r="C2638" s="568" t="s">
        <v>204</v>
      </c>
      <c r="D2638" s="567">
        <v>1406</v>
      </c>
      <c r="E2638" s="567">
        <v>67</v>
      </c>
      <c r="F2638" s="567">
        <v>2</v>
      </c>
      <c r="G2638" s="567">
        <v>119</v>
      </c>
      <c r="H2638" s="567">
        <v>1110</v>
      </c>
      <c r="O2638"/>
    </row>
    <row r="2639" spans="1:15" x14ac:dyDescent="0.2">
      <c r="A2639" s="567">
        <v>636</v>
      </c>
      <c r="B2639" s="568" t="s">
        <v>203</v>
      </c>
      <c r="C2639" s="568" t="s">
        <v>205</v>
      </c>
      <c r="D2639" s="567">
        <v>1405</v>
      </c>
      <c r="E2639" s="567">
        <v>67</v>
      </c>
      <c r="F2639" s="567">
        <v>2</v>
      </c>
      <c r="G2639" s="567">
        <v>119</v>
      </c>
      <c r="H2639" s="567">
        <v>1110</v>
      </c>
      <c r="O2639"/>
    </row>
    <row r="2640" spans="1:15" x14ac:dyDescent="0.2">
      <c r="A2640" s="567">
        <v>635</v>
      </c>
      <c r="B2640" s="568" t="s">
        <v>203</v>
      </c>
      <c r="C2640" s="568" t="s">
        <v>206</v>
      </c>
      <c r="D2640" s="567">
        <v>1404</v>
      </c>
      <c r="E2640" s="567">
        <v>67</v>
      </c>
      <c r="F2640" s="567">
        <v>2</v>
      </c>
      <c r="G2640" s="567">
        <v>119</v>
      </c>
      <c r="H2640" s="567">
        <v>1110</v>
      </c>
      <c r="O2640"/>
    </row>
    <row r="2641" spans="1:15" x14ac:dyDescent="0.2">
      <c r="A2641" s="567">
        <v>634</v>
      </c>
      <c r="B2641" s="568" t="s">
        <v>203</v>
      </c>
      <c r="C2641" s="568" t="s">
        <v>207</v>
      </c>
      <c r="D2641" s="567">
        <v>1403</v>
      </c>
      <c r="E2641" s="567">
        <v>67</v>
      </c>
      <c r="F2641" s="567">
        <v>2</v>
      </c>
      <c r="G2641" s="567">
        <v>119</v>
      </c>
      <c r="H2641" s="567">
        <v>1110</v>
      </c>
      <c r="O2641"/>
    </row>
    <row r="2642" spans="1:15" x14ac:dyDescent="0.2">
      <c r="A2642" s="567">
        <v>633</v>
      </c>
      <c r="B2642" s="568" t="s">
        <v>203</v>
      </c>
      <c r="C2642" s="568" t="s">
        <v>208</v>
      </c>
      <c r="D2642" s="567">
        <v>1402</v>
      </c>
      <c r="E2642" s="567">
        <v>67</v>
      </c>
      <c r="F2642" s="567">
        <v>2</v>
      </c>
      <c r="G2642" s="567">
        <v>119</v>
      </c>
      <c r="H2642" s="567">
        <v>1110</v>
      </c>
      <c r="O2642"/>
    </row>
    <row r="2643" spans="1:15" x14ac:dyDescent="0.2">
      <c r="A2643" s="567">
        <v>632</v>
      </c>
      <c r="B2643" s="568" t="s">
        <v>203</v>
      </c>
      <c r="C2643" s="568" t="s">
        <v>209</v>
      </c>
      <c r="D2643" s="567">
        <v>1401</v>
      </c>
      <c r="E2643" s="567">
        <v>67</v>
      </c>
      <c r="F2643" s="567">
        <v>2</v>
      </c>
      <c r="G2643" s="567">
        <v>119</v>
      </c>
      <c r="H2643" s="567">
        <v>1110</v>
      </c>
      <c r="O2643"/>
    </row>
    <row r="2644" spans="1:15" x14ac:dyDescent="0.2">
      <c r="A2644" s="567">
        <v>631</v>
      </c>
      <c r="B2644" s="568" t="s">
        <v>203</v>
      </c>
      <c r="C2644" s="568" t="s">
        <v>203</v>
      </c>
      <c r="D2644" s="567">
        <v>1400</v>
      </c>
      <c r="E2644" s="567">
        <v>67</v>
      </c>
      <c r="F2644" s="567">
        <v>2</v>
      </c>
      <c r="G2644" s="567">
        <v>119</v>
      </c>
      <c r="H2644" s="567">
        <v>1110</v>
      </c>
      <c r="O2644"/>
    </row>
    <row r="2645" spans="1:15" x14ac:dyDescent="0.2">
      <c r="A2645" s="567">
        <v>2057</v>
      </c>
      <c r="B2645" s="568" t="s">
        <v>2362</v>
      </c>
      <c r="C2645" s="568" t="s">
        <v>2362</v>
      </c>
      <c r="D2645" s="567">
        <v>5850</v>
      </c>
      <c r="E2645" s="567">
        <v>53</v>
      </c>
      <c r="F2645" s="567">
        <v>7</v>
      </c>
      <c r="G2645" s="567">
        <v>325</v>
      </c>
      <c r="H2645" s="567">
        <v>3160</v>
      </c>
      <c r="O2645"/>
    </row>
    <row r="2646" spans="1:15" x14ac:dyDescent="0.2">
      <c r="A2646" s="567">
        <v>2058</v>
      </c>
      <c r="B2646" s="568" t="s">
        <v>2362</v>
      </c>
      <c r="C2646" s="568" t="s">
        <v>2363</v>
      </c>
      <c r="D2646" s="567">
        <v>5851</v>
      </c>
      <c r="E2646" s="567">
        <v>53</v>
      </c>
      <c r="F2646" s="567">
        <v>7</v>
      </c>
      <c r="G2646" s="567">
        <v>325</v>
      </c>
      <c r="H2646" s="567">
        <v>3160</v>
      </c>
      <c r="O2646"/>
    </row>
    <row r="2647" spans="1:15" x14ac:dyDescent="0.2">
      <c r="A2647" s="567">
        <v>1145</v>
      </c>
      <c r="B2647" s="568" t="s">
        <v>1357</v>
      </c>
      <c r="C2647" s="568" t="s">
        <v>1356</v>
      </c>
      <c r="D2647" s="567">
        <v>2982</v>
      </c>
      <c r="E2647" s="567">
        <v>82</v>
      </c>
      <c r="F2647" s="567">
        <v>1</v>
      </c>
      <c r="G2647" s="567">
        <v>226</v>
      </c>
      <c r="H2647" s="567">
        <v>2130</v>
      </c>
      <c r="O2647"/>
    </row>
    <row r="2648" spans="1:15" x14ac:dyDescent="0.2">
      <c r="A2648" s="567">
        <v>1144</v>
      </c>
      <c r="B2648" s="568" t="s">
        <v>1357</v>
      </c>
      <c r="C2648" s="568" t="s">
        <v>1367</v>
      </c>
      <c r="D2648" s="567">
        <v>2981</v>
      </c>
      <c r="E2648" s="567">
        <v>82</v>
      </c>
      <c r="F2648" s="567">
        <v>1</v>
      </c>
      <c r="G2648" s="567">
        <v>226</v>
      </c>
      <c r="H2648" s="567">
        <v>2130</v>
      </c>
      <c r="O2648"/>
    </row>
    <row r="2649" spans="1:15" x14ac:dyDescent="0.2">
      <c r="A2649" s="567">
        <v>1143</v>
      </c>
      <c r="B2649" s="568" t="s">
        <v>1357</v>
      </c>
      <c r="C2649" s="568" t="s">
        <v>1357</v>
      </c>
      <c r="D2649" s="567">
        <v>2980</v>
      </c>
      <c r="E2649" s="567">
        <v>82</v>
      </c>
      <c r="F2649" s="567">
        <v>1</v>
      </c>
      <c r="G2649" s="567">
        <v>226</v>
      </c>
      <c r="H2649" s="567">
        <v>2130</v>
      </c>
      <c r="O2649"/>
    </row>
    <row r="2650" spans="1:15" x14ac:dyDescent="0.2">
      <c r="A2650" s="567">
        <v>246</v>
      </c>
      <c r="B2650" s="568" t="s">
        <v>1061</v>
      </c>
      <c r="C2650" s="568" t="s">
        <v>1060</v>
      </c>
      <c r="D2650" s="567">
        <v>396</v>
      </c>
      <c r="E2650" s="567">
        <v>75</v>
      </c>
      <c r="F2650" s="567">
        <v>20</v>
      </c>
      <c r="G2650" s="567">
        <v>127</v>
      </c>
      <c r="H2650" s="567">
        <v>1200</v>
      </c>
      <c r="O2650"/>
    </row>
    <row r="2651" spans="1:15" x14ac:dyDescent="0.2">
      <c r="A2651" s="567">
        <v>245</v>
      </c>
      <c r="B2651" s="568" t="s">
        <v>1061</v>
      </c>
      <c r="C2651" s="568" t="s">
        <v>1062</v>
      </c>
      <c r="D2651" s="567">
        <v>395</v>
      </c>
      <c r="E2651" s="567">
        <v>75</v>
      </c>
      <c r="F2651" s="567">
        <v>20</v>
      </c>
      <c r="G2651" s="567">
        <v>127</v>
      </c>
      <c r="H2651" s="567">
        <v>1200</v>
      </c>
      <c r="O2651"/>
    </row>
    <row r="2652" spans="1:15" x14ac:dyDescent="0.2">
      <c r="A2652" s="567">
        <v>244</v>
      </c>
      <c r="B2652" s="568" t="s">
        <v>1061</v>
      </c>
      <c r="C2652" s="568" t="s">
        <v>1063</v>
      </c>
      <c r="D2652" s="567">
        <v>394</v>
      </c>
      <c r="E2652" s="567">
        <v>75</v>
      </c>
      <c r="F2652" s="567">
        <v>20</v>
      </c>
      <c r="G2652" s="567">
        <v>127</v>
      </c>
      <c r="H2652" s="567">
        <v>1200</v>
      </c>
      <c r="O2652"/>
    </row>
    <row r="2653" spans="1:15" x14ac:dyDescent="0.2">
      <c r="A2653" s="567">
        <v>243</v>
      </c>
      <c r="B2653" s="568" t="s">
        <v>1061</v>
      </c>
      <c r="C2653" s="568" t="s">
        <v>1064</v>
      </c>
      <c r="D2653" s="567">
        <v>393</v>
      </c>
      <c r="E2653" s="567">
        <v>75</v>
      </c>
      <c r="F2653" s="567">
        <v>20</v>
      </c>
      <c r="G2653" s="567">
        <v>127</v>
      </c>
      <c r="H2653" s="567">
        <v>1200</v>
      </c>
      <c r="O2653"/>
    </row>
    <row r="2654" spans="1:15" x14ac:dyDescent="0.2">
      <c r="A2654" s="567">
        <v>242</v>
      </c>
      <c r="B2654" s="568" t="s">
        <v>1061</v>
      </c>
      <c r="C2654" s="568" t="s">
        <v>1065</v>
      </c>
      <c r="D2654" s="567">
        <v>392</v>
      </c>
      <c r="E2654" s="567">
        <v>75</v>
      </c>
      <c r="F2654" s="567">
        <v>20</v>
      </c>
      <c r="G2654" s="567">
        <v>127</v>
      </c>
      <c r="H2654" s="567">
        <v>1200</v>
      </c>
      <c r="O2654"/>
    </row>
    <row r="2655" spans="1:15" x14ac:dyDescent="0.2">
      <c r="A2655" s="567">
        <v>241</v>
      </c>
      <c r="B2655" s="568" t="s">
        <v>1061</v>
      </c>
      <c r="C2655" s="568" t="s">
        <v>1066</v>
      </c>
      <c r="D2655" s="567">
        <v>391</v>
      </c>
      <c r="E2655" s="567">
        <v>75</v>
      </c>
      <c r="F2655" s="567">
        <v>20</v>
      </c>
      <c r="G2655" s="567">
        <v>127</v>
      </c>
      <c r="H2655" s="567">
        <v>1200</v>
      </c>
      <c r="O2655"/>
    </row>
    <row r="2656" spans="1:15" x14ac:dyDescent="0.2">
      <c r="A2656" s="567">
        <v>240</v>
      </c>
      <c r="B2656" s="568" t="s">
        <v>1061</v>
      </c>
      <c r="C2656" s="568" t="s">
        <v>1061</v>
      </c>
      <c r="D2656" s="567">
        <v>390</v>
      </c>
      <c r="E2656" s="567">
        <v>75</v>
      </c>
      <c r="F2656" s="567">
        <v>20</v>
      </c>
      <c r="G2656" s="567">
        <v>127</v>
      </c>
      <c r="H2656" s="567">
        <v>1200</v>
      </c>
      <c r="O2656"/>
    </row>
    <row r="2657" spans="1:15" x14ac:dyDescent="0.2">
      <c r="A2657" s="567">
        <v>1798</v>
      </c>
      <c r="B2657" s="568" t="s">
        <v>2164</v>
      </c>
      <c r="C2657" s="568" t="s">
        <v>2163</v>
      </c>
      <c r="D2657" s="567">
        <v>4942</v>
      </c>
      <c r="E2657" s="567">
        <v>121</v>
      </c>
      <c r="F2657" s="567">
        <v>5</v>
      </c>
      <c r="G2657" s="567">
        <v>317</v>
      </c>
      <c r="H2657" s="567">
        <v>3140</v>
      </c>
      <c r="O2657"/>
    </row>
    <row r="2658" spans="1:15" x14ac:dyDescent="0.2">
      <c r="A2658" s="567">
        <v>1797</v>
      </c>
      <c r="B2658" s="568" t="s">
        <v>2164</v>
      </c>
      <c r="C2658" s="568" t="s">
        <v>2166</v>
      </c>
      <c r="D2658" s="567">
        <v>4941</v>
      </c>
      <c r="E2658" s="567">
        <v>121</v>
      </c>
      <c r="F2658" s="567">
        <v>5</v>
      </c>
      <c r="G2658" s="567">
        <v>317</v>
      </c>
      <c r="H2658" s="567">
        <v>3140</v>
      </c>
      <c r="O2658"/>
    </row>
    <row r="2659" spans="1:15" x14ac:dyDescent="0.2">
      <c r="A2659" s="567">
        <v>1796</v>
      </c>
      <c r="B2659" s="568" t="s">
        <v>2164</v>
      </c>
      <c r="C2659" s="568" t="s">
        <v>2164</v>
      </c>
      <c r="D2659" s="567">
        <v>4940</v>
      </c>
      <c r="E2659" s="567">
        <v>121</v>
      </c>
      <c r="F2659" s="567">
        <v>5</v>
      </c>
      <c r="G2659" s="567">
        <v>317</v>
      </c>
      <c r="H2659" s="567">
        <v>3140</v>
      </c>
      <c r="O2659"/>
    </row>
    <row r="2660" spans="1:15" x14ac:dyDescent="0.2">
      <c r="A2660" s="567">
        <v>1735</v>
      </c>
      <c r="B2660" s="568" t="s">
        <v>2245</v>
      </c>
      <c r="C2660" s="568" t="s">
        <v>2245</v>
      </c>
      <c r="D2660" s="567">
        <v>4735</v>
      </c>
      <c r="E2660" s="567">
        <v>122</v>
      </c>
      <c r="F2660" s="567">
        <v>3</v>
      </c>
      <c r="G2660" s="567">
        <v>317</v>
      </c>
      <c r="H2660" s="567">
        <v>3140</v>
      </c>
      <c r="O2660"/>
    </row>
    <row r="2661" spans="1:15" x14ac:dyDescent="0.2">
      <c r="A2661" s="567">
        <v>962</v>
      </c>
      <c r="B2661" s="568" t="s">
        <v>107</v>
      </c>
      <c r="C2661" s="568" t="s">
        <v>106</v>
      </c>
      <c r="D2661" s="567">
        <v>2493</v>
      </c>
      <c r="E2661" s="567">
        <v>65</v>
      </c>
      <c r="F2661" s="567">
        <v>18</v>
      </c>
      <c r="G2661" s="567">
        <v>136</v>
      </c>
      <c r="H2661" s="567">
        <v>1101</v>
      </c>
      <c r="O2661"/>
    </row>
    <row r="2662" spans="1:15" x14ac:dyDescent="0.2">
      <c r="A2662" s="567">
        <v>959</v>
      </c>
      <c r="B2662" s="568" t="s">
        <v>107</v>
      </c>
      <c r="C2662" s="568" t="s">
        <v>107</v>
      </c>
      <c r="D2662" s="567">
        <v>2490</v>
      </c>
      <c r="E2662" s="567">
        <v>65</v>
      </c>
      <c r="F2662" s="567">
        <v>18</v>
      </c>
      <c r="G2662" s="567">
        <v>136</v>
      </c>
      <c r="H2662" s="567">
        <v>1101</v>
      </c>
      <c r="O2662"/>
    </row>
    <row r="2663" spans="1:15" x14ac:dyDescent="0.2">
      <c r="A2663" s="567">
        <v>961</v>
      </c>
      <c r="B2663" s="568" t="s">
        <v>107</v>
      </c>
      <c r="C2663" s="568" t="s">
        <v>119</v>
      </c>
      <c r="D2663" s="567">
        <v>2492</v>
      </c>
      <c r="E2663" s="567">
        <v>65</v>
      </c>
      <c r="F2663" s="567">
        <v>18</v>
      </c>
      <c r="G2663" s="567">
        <v>136</v>
      </c>
      <c r="H2663" s="567">
        <v>1101</v>
      </c>
      <c r="O2663"/>
    </row>
    <row r="2664" spans="1:15" x14ac:dyDescent="0.2">
      <c r="A2664" s="567">
        <v>963</v>
      </c>
      <c r="B2664" s="568" t="s">
        <v>107</v>
      </c>
      <c r="C2664" s="568" t="s">
        <v>121</v>
      </c>
      <c r="D2664" s="567">
        <v>2494</v>
      </c>
      <c r="E2664" s="567">
        <v>65</v>
      </c>
      <c r="F2664" s="567">
        <v>18</v>
      </c>
      <c r="G2664" s="567">
        <v>136</v>
      </c>
      <c r="H2664" s="567">
        <v>1101</v>
      </c>
      <c r="O2664"/>
    </row>
    <row r="2665" spans="1:15" x14ac:dyDescent="0.2">
      <c r="A2665" s="567">
        <v>964</v>
      </c>
      <c r="B2665" s="568" t="s">
        <v>107</v>
      </c>
      <c r="C2665" s="568" t="s">
        <v>122</v>
      </c>
      <c r="D2665" s="567">
        <v>2495</v>
      </c>
      <c r="E2665" s="567">
        <v>65</v>
      </c>
      <c r="F2665" s="567">
        <v>18</v>
      </c>
      <c r="G2665" s="567">
        <v>136</v>
      </c>
      <c r="H2665" s="567">
        <v>1101</v>
      </c>
      <c r="O2665"/>
    </row>
    <row r="2666" spans="1:15" x14ac:dyDescent="0.2">
      <c r="A2666" s="567">
        <v>965</v>
      </c>
      <c r="B2666" s="568" t="s">
        <v>107</v>
      </c>
      <c r="C2666" s="568" t="s">
        <v>123</v>
      </c>
      <c r="D2666" s="567">
        <v>2496</v>
      </c>
      <c r="E2666" s="567">
        <v>65</v>
      </c>
      <c r="F2666" s="567">
        <v>18</v>
      </c>
      <c r="G2666" s="567">
        <v>136</v>
      </c>
      <c r="H2666" s="567">
        <v>1101</v>
      </c>
      <c r="O2666"/>
    </row>
    <row r="2667" spans="1:15" x14ac:dyDescent="0.2">
      <c r="A2667" s="567">
        <v>966</v>
      </c>
      <c r="B2667" s="568" t="s">
        <v>107</v>
      </c>
      <c r="C2667" s="568" t="s">
        <v>124</v>
      </c>
      <c r="D2667" s="567">
        <v>2497</v>
      </c>
      <c r="E2667" s="567">
        <v>65</v>
      </c>
      <c r="F2667" s="567">
        <v>18</v>
      </c>
      <c r="G2667" s="567">
        <v>136</v>
      </c>
      <c r="H2667" s="567">
        <v>1101</v>
      </c>
      <c r="O2667"/>
    </row>
    <row r="2668" spans="1:15" x14ac:dyDescent="0.2">
      <c r="A2668" s="567">
        <v>967</v>
      </c>
      <c r="B2668" s="568" t="s">
        <v>107</v>
      </c>
      <c r="C2668" s="568" t="s">
        <v>125</v>
      </c>
      <c r="D2668" s="567">
        <v>2498</v>
      </c>
      <c r="E2668" s="567">
        <v>65</v>
      </c>
      <c r="F2668" s="567">
        <v>18</v>
      </c>
      <c r="G2668" s="567">
        <v>136</v>
      </c>
      <c r="H2668" s="567">
        <v>1101</v>
      </c>
      <c r="O2668"/>
    </row>
    <row r="2669" spans="1:15" x14ac:dyDescent="0.2">
      <c r="A2669" s="567">
        <v>968</v>
      </c>
      <c r="B2669" s="568" t="s">
        <v>107</v>
      </c>
      <c r="C2669" s="568" t="s">
        <v>126</v>
      </c>
      <c r="D2669" s="567">
        <v>2499</v>
      </c>
      <c r="E2669" s="567">
        <v>65</v>
      </c>
      <c r="F2669" s="567">
        <v>18</v>
      </c>
      <c r="G2669" s="567">
        <v>136</v>
      </c>
      <c r="H2669" s="567">
        <v>1101</v>
      </c>
      <c r="O2669"/>
    </row>
    <row r="2670" spans="1:15" x14ac:dyDescent="0.2">
      <c r="A2670" s="567">
        <v>960</v>
      </c>
      <c r="B2670" s="568" t="s">
        <v>107</v>
      </c>
      <c r="C2670" s="568" t="s">
        <v>130</v>
      </c>
      <c r="D2670" s="567">
        <v>2491</v>
      </c>
      <c r="E2670" s="567">
        <v>65</v>
      </c>
      <c r="F2670" s="567">
        <v>18</v>
      </c>
      <c r="G2670" s="567">
        <v>136</v>
      </c>
      <c r="H2670" s="567">
        <v>1101</v>
      </c>
      <c r="O2670"/>
    </row>
    <row r="2671" spans="1:15" x14ac:dyDescent="0.2">
      <c r="A2671" s="567">
        <v>314</v>
      </c>
      <c r="B2671" s="568" t="s">
        <v>1006</v>
      </c>
      <c r="C2671" s="568" t="s">
        <v>1006</v>
      </c>
      <c r="D2671" s="567">
        <v>530</v>
      </c>
      <c r="E2671" s="567">
        <v>76</v>
      </c>
      <c r="F2671" s="567">
        <v>20</v>
      </c>
      <c r="G2671" s="567">
        <v>127</v>
      </c>
      <c r="H2671" s="567">
        <v>1200</v>
      </c>
      <c r="O2671"/>
    </row>
    <row r="2672" spans="1:15" x14ac:dyDescent="0.2">
      <c r="A2672" s="567">
        <v>315</v>
      </c>
      <c r="B2672" s="568" t="s">
        <v>1006</v>
      </c>
      <c r="C2672" s="568" t="s">
        <v>1011</v>
      </c>
      <c r="D2672" s="567">
        <v>531</v>
      </c>
      <c r="E2672" s="567">
        <v>76</v>
      </c>
      <c r="F2672" s="567">
        <v>20</v>
      </c>
      <c r="G2672" s="567">
        <v>127</v>
      </c>
      <c r="H2672" s="567">
        <v>1200</v>
      </c>
      <c r="O2672"/>
    </row>
    <row r="2673" spans="1:15" x14ac:dyDescent="0.2">
      <c r="A2673" s="567">
        <v>316</v>
      </c>
      <c r="B2673" s="568" t="s">
        <v>1006</v>
      </c>
      <c r="C2673" s="568" t="s">
        <v>1012</v>
      </c>
      <c r="D2673" s="567">
        <v>532</v>
      </c>
      <c r="E2673" s="567">
        <v>76</v>
      </c>
      <c r="F2673" s="567">
        <v>20</v>
      </c>
      <c r="G2673" s="567">
        <v>127</v>
      </c>
      <c r="H2673" s="567">
        <v>1200</v>
      </c>
      <c r="O2673"/>
    </row>
    <row r="2674" spans="1:15" x14ac:dyDescent="0.2">
      <c r="A2674" s="567">
        <v>317</v>
      </c>
      <c r="B2674" s="568" t="s">
        <v>1006</v>
      </c>
      <c r="C2674" s="568" t="s">
        <v>1013</v>
      </c>
      <c r="D2674" s="567">
        <v>533</v>
      </c>
      <c r="E2674" s="567">
        <v>76</v>
      </c>
      <c r="F2674" s="567">
        <v>20</v>
      </c>
      <c r="G2674" s="567">
        <v>127</v>
      </c>
      <c r="H2674" s="567">
        <v>1200</v>
      </c>
      <c r="O2674"/>
    </row>
    <row r="2675" spans="1:15" x14ac:dyDescent="0.2">
      <c r="A2675" s="567">
        <v>318</v>
      </c>
      <c r="B2675" s="568" t="s">
        <v>1006</v>
      </c>
      <c r="C2675" s="568" t="s">
        <v>1014</v>
      </c>
      <c r="D2675" s="567">
        <v>534</v>
      </c>
      <c r="E2675" s="567">
        <v>76</v>
      </c>
      <c r="F2675" s="567">
        <v>20</v>
      </c>
      <c r="G2675" s="567">
        <v>127</v>
      </c>
      <c r="H2675" s="567">
        <v>1200</v>
      </c>
      <c r="O2675"/>
    </row>
    <row r="2676" spans="1:15" x14ac:dyDescent="0.2">
      <c r="A2676" s="567">
        <v>319</v>
      </c>
      <c r="B2676" s="568" t="s">
        <v>1006</v>
      </c>
      <c r="C2676" s="568" t="s">
        <v>1015</v>
      </c>
      <c r="D2676" s="567">
        <v>535</v>
      </c>
      <c r="E2676" s="567">
        <v>76</v>
      </c>
      <c r="F2676" s="567">
        <v>20</v>
      </c>
      <c r="G2676" s="567">
        <v>127</v>
      </c>
      <c r="H2676" s="567">
        <v>1200</v>
      </c>
      <c r="O2676"/>
    </row>
    <row r="2677" spans="1:15" x14ac:dyDescent="0.2">
      <c r="A2677" s="567">
        <v>320</v>
      </c>
      <c r="B2677" s="568" t="s">
        <v>1006</v>
      </c>
      <c r="C2677" s="568" t="s">
        <v>1038</v>
      </c>
      <c r="D2677" s="567">
        <v>536</v>
      </c>
      <c r="E2677" s="567">
        <v>76</v>
      </c>
      <c r="F2677" s="567">
        <v>20</v>
      </c>
      <c r="G2677" s="567">
        <v>127</v>
      </c>
      <c r="H2677" s="567">
        <v>1200</v>
      </c>
      <c r="O2677"/>
    </row>
    <row r="2678" spans="1:15" x14ac:dyDescent="0.2">
      <c r="A2678" s="567">
        <v>321</v>
      </c>
      <c r="B2678" s="568" t="s">
        <v>1006</v>
      </c>
      <c r="C2678" s="568" t="s">
        <v>1055</v>
      </c>
      <c r="D2678" s="567">
        <v>537</v>
      </c>
      <c r="E2678" s="567">
        <v>76</v>
      </c>
      <c r="F2678" s="567">
        <v>20</v>
      </c>
      <c r="G2678" s="567">
        <v>127</v>
      </c>
      <c r="H2678" s="567">
        <v>1200</v>
      </c>
      <c r="O2678"/>
    </row>
    <row r="2679" spans="1:15" x14ac:dyDescent="0.2">
      <c r="A2679" s="567">
        <v>413</v>
      </c>
      <c r="B2679" s="568" t="s">
        <v>628</v>
      </c>
      <c r="C2679" s="568" t="s">
        <v>628</v>
      </c>
      <c r="D2679" s="567">
        <v>765</v>
      </c>
      <c r="E2679" s="567">
        <v>86</v>
      </c>
      <c r="F2679" s="567">
        <v>1</v>
      </c>
      <c r="G2679" s="567">
        <v>125</v>
      </c>
      <c r="H2679" s="567">
        <v>1150</v>
      </c>
      <c r="O2679"/>
    </row>
    <row r="2680" spans="1:15" x14ac:dyDescent="0.2">
      <c r="A2680" s="567">
        <v>414</v>
      </c>
      <c r="B2680" s="568" t="s">
        <v>628</v>
      </c>
      <c r="C2680" s="568" t="s">
        <v>629</v>
      </c>
      <c r="D2680" s="567">
        <v>766</v>
      </c>
      <c r="E2680" s="567">
        <v>86</v>
      </c>
      <c r="F2680" s="567">
        <v>1</v>
      </c>
      <c r="G2680" s="567">
        <v>125</v>
      </c>
      <c r="H2680" s="567">
        <v>1150</v>
      </c>
      <c r="O2680"/>
    </row>
    <row r="2681" spans="1:15" x14ac:dyDescent="0.2">
      <c r="A2681" s="567">
        <v>415</v>
      </c>
      <c r="B2681" s="568" t="s">
        <v>628</v>
      </c>
      <c r="C2681" s="568" t="s">
        <v>630</v>
      </c>
      <c r="D2681" s="567">
        <v>767</v>
      </c>
      <c r="E2681" s="567">
        <v>86</v>
      </c>
      <c r="F2681" s="567">
        <v>1</v>
      </c>
      <c r="G2681" s="567">
        <v>125</v>
      </c>
      <c r="H2681" s="567">
        <v>1150</v>
      </c>
      <c r="O2681"/>
    </row>
    <row r="2682" spans="1:15" x14ac:dyDescent="0.2">
      <c r="A2682" s="567">
        <v>416</v>
      </c>
      <c r="B2682" s="568" t="s">
        <v>628</v>
      </c>
      <c r="C2682" s="568" t="s">
        <v>187</v>
      </c>
      <c r="D2682" s="567">
        <v>768</v>
      </c>
      <c r="E2682" s="567">
        <v>86</v>
      </c>
      <c r="F2682" s="567">
        <v>1</v>
      </c>
      <c r="G2682" s="567">
        <v>125</v>
      </c>
      <c r="H2682" s="567">
        <v>1150</v>
      </c>
      <c r="O2682"/>
    </row>
    <row r="2683" spans="1:15" x14ac:dyDescent="0.2">
      <c r="A2683" s="567">
        <v>607</v>
      </c>
      <c r="B2683" s="568" t="s">
        <v>180</v>
      </c>
      <c r="C2683" s="568" t="s">
        <v>180</v>
      </c>
      <c r="D2683" s="567">
        <v>1335</v>
      </c>
      <c r="E2683" s="567">
        <v>68</v>
      </c>
      <c r="F2683" s="567">
        <v>1</v>
      </c>
      <c r="G2683" s="567">
        <v>119</v>
      </c>
      <c r="H2683" s="567">
        <v>1110</v>
      </c>
      <c r="O2683"/>
    </row>
    <row r="2684" spans="1:15" x14ac:dyDescent="0.2">
      <c r="A2684" s="567">
        <v>1768</v>
      </c>
      <c r="B2684" s="568" t="s">
        <v>2129</v>
      </c>
      <c r="C2684" s="568" t="s">
        <v>2128</v>
      </c>
      <c r="D2684" s="567">
        <v>4860</v>
      </c>
      <c r="E2684" s="567">
        <v>150</v>
      </c>
      <c r="F2684" s="567">
        <v>3</v>
      </c>
      <c r="G2684" s="567">
        <v>317</v>
      </c>
      <c r="H2684" s="567">
        <v>3140</v>
      </c>
      <c r="O2684"/>
    </row>
    <row r="2685" spans="1:15" x14ac:dyDescent="0.2">
      <c r="A2685" s="567">
        <v>1769</v>
      </c>
      <c r="B2685" s="568" t="s">
        <v>2129</v>
      </c>
      <c r="C2685" s="568" t="s">
        <v>2130</v>
      </c>
      <c r="D2685" s="567">
        <v>4861</v>
      </c>
      <c r="E2685" s="567">
        <v>150</v>
      </c>
      <c r="F2685" s="567">
        <v>3</v>
      </c>
      <c r="G2685" s="567">
        <v>317</v>
      </c>
      <c r="H2685" s="567">
        <v>3140</v>
      </c>
      <c r="O2685"/>
    </row>
    <row r="2686" spans="1:15" x14ac:dyDescent="0.2">
      <c r="A2686" s="567">
        <v>1770</v>
      </c>
      <c r="B2686" s="568" t="s">
        <v>2129</v>
      </c>
      <c r="C2686" s="568" t="s">
        <v>2131</v>
      </c>
      <c r="D2686" s="567">
        <v>4862</v>
      </c>
      <c r="E2686" s="567">
        <v>150</v>
      </c>
      <c r="F2686" s="567">
        <v>3</v>
      </c>
      <c r="G2686" s="567">
        <v>317</v>
      </c>
      <c r="H2686" s="567">
        <v>3140</v>
      </c>
      <c r="O2686"/>
    </row>
    <row r="2687" spans="1:15" x14ac:dyDescent="0.2">
      <c r="A2687" s="567">
        <v>1771</v>
      </c>
      <c r="B2687" s="568" t="s">
        <v>2129</v>
      </c>
      <c r="C2687" s="568" t="s">
        <v>2132</v>
      </c>
      <c r="D2687" s="567">
        <v>4863</v>
      </c>
      <c r="E2687" s="567">
        <v>150</v>
      </c>
      <c r="F2687" s="567">
        <v>3</v>
      </c>
      <c r="G2687" s="567">
        <v>317</v>
      </c>
      <c r="H2687" s="567">
        <v>3140</v>
      </c>
      <c r="O2687"/>
    </row>
    <row r="2688" spans="1:15" x14ac:dyDescent="0.2">
      <c r="A2688" s="567">
        <v>1096</v>
      </c>
      <c r="B2688" s="568" t="s">
        <v>1115</v>
      </c>
      <c r="C2688" s="568" t="s">
        <v>1462</v>
      </c>
      <c r="D2688" s="567">
        <v>2836</v>
      </c>
      <c r="E2688" s="567">
        <v>116</v>
      </c>
      <c r="F2688" s="567">
        <v>21</v>
      </c>
      <c r="G2688" s="567">
        <v>225</v>
      </c>
      <c r="H2688" s="567">
        <v>2140</v>
      </c>
      <c r="O2688"/>
    </row>
    <row r="2689" spans="1:15" x14ac:dyDescent="0.2">
      <c r="A2689" s="567">
        <v>1095</v>
      </c>
      <c r="B2689" s="568" t="s">
        <v>1115</v>
      </c>
      <c r="C2689" s="568" t="s">
        <v>1463</v>
      </c>
      <c r="D2689" s="567">
        <v>2835</v>
      </c>
      <c r="E2689" s="567">
        <v>116</v>
      </c>
      <c r="F2689" s="567">
        <v>21</v>
      </c>
      <c r="G2689" s="567">
        <v>225</v>
      </c>
      <c r="H2689" s="567">
        <v>2140</v>
      </c>
      <c r="O2689"/>
    </row>
    <row r="2690" spans="1:15" x14ac:dyDescent="0.2">
      <c r="A2690" s="567">
        <v>2986</v>
      </c>
      <c r="B2690" s="568" t="s">
        <v>2678</v>
      </c>
      <c r="C2690" s="568" t="s">
        <v>2677</v>
      </c>
      <c r="D2690" s="567">
        <v>8604</v>
      </c>
      <c r="E2690" s="567">
        <v>108</v>
      </c>
      <c r="F2690" s="567">
        <v>11</v>
      </c>
      <c r="G2690" s="567">
        <v>426</v>
      </c>
      <c r="H2690" s="567">
        <v>4110</v>
      </c>
      <c r="O2690"/>
    </row>
    <row r="2691" spans="1:15" x14ac:dyDescent="0.2">
      <c r="A2691" s="567">
        <v>2987</v>
      </c>
      <c r="B2691" s="568" t="s">
        <v>2678</v>
      </c>
      <c r="C2691" s="568" t="s">
        <v>2679</v>
      </c>
      <c r="D2691" s="567">
        <v>8605</v>
      </c>
      <c r="E2691" s="567">
        <v>108</v>
      </c>
      <c r="F2691" s="567">
        <v>11</v>
      </c>
      <c r="G2691" s="567">
        <v>426</v>
      </c>
      <c r="H2691" s="567">
        <v>4110</v>
      </c>
      <c r="O2691"/>
    </row>
    <row r="2692" spans="1:15" x14ac:dyDescent="0.2">
      <c r="A2692" s="567">
        <v>2983</v>
      </c>
      <c r="B2692" s="568" t="s">
        <v>2678</v>
      </c>
      <c r="C2692" s="568" t="s">
        <v>2687</v>
      </c>
      <c r="D2692" s="567">
        <v>8601</v>
      </c>
      <c r="E2692" s="567">
        <v>108</v>
      </c>
      <c r="F2692" s="567">
        <v>11</v>
      </c>
      <c r="G2692" s="567">
        <v>426</v>
      </c>
      <c r="H2692" s="567">
        <v>4110</v>
      </c>
      <c r="O2692"/>
    </row>
    <row r="2693" spans="1:15" x14ac:dyDescent="0.2">
      <c r="A2693" s="567">
        <v>2985</v>
      </c>
      <c r="B2693" s="568" t="s">
        <v>2678</v>
      </c>
      <c r="C2693" s="568" t="s">
        <v>2699</v>
      </c>
      <c r="D2693" s="567">
        <v>8603</v>
      </c>
      <c r="E2693" s="567">
        <v>108</v>
      </c>
      <c r="F2693" s="567">
        <v>11</v>
      </c>
      <c r="G2693" s="567">
        <v>426</v>
      </c>
      <c r="H2693" s="567">
        <v>4110</v>
      </c>
      <c r="O2693"/>
    </row>
    <row r="2694" spans="1:15" x14ac:dyDescent="0.2">
      <c r="A2694" s="567">
        <v>2984</v>
      </c>
      <c r="B2694" s="568" t="s">
        <v>2678</v>
      </c>
      <c r="C2694" s="568" t="s">
        <v>2701</v>
      </c>
      <c r="D2694" s="567">
        <v>8602</v>
      </c>
      <c r="E2694" s="567">
        <v>108</v>
      </c>
      <c r="F2694" s="567">
        <v>11</v>
      </c>
      <c r="G2694" s="567">
        <v>426</v>
      </c>
      <c r="H2694" s="567">
        <v>4110</v>
      </c>
      <c r="O2694"/>
    </row>
    <row r="2695" spans="1:15" x14ac:dyDescent="0.2">
      <c r="A2695" s="567">
        <v>2982</v>
      </c>
      <c r="B2695" s="568" t="s">
        <v>2678</v>
      </c>
      <c r="C2695" s="568" t="s">
        <v>2678</v>
      </c>
      <c r="D2695" s="567">
        <v>8600</v>
      </c>
      <c r="E2695" s="567">
        <v>108</v>
      </c>
      <c r="F2695" s="567">
        <v>11</v>
      </c>
      <c r="G2695" s="567">
        <v>426</v>
      </c>
      <c r="H2695" s="567">
        <v>4110</v>
      </c>
      <c r="O2695"/>
    </row>
    <row r="2696" spans="1:15" x14ac:dyDescent="0.2">
      <c r="A2696" s="567">
        <v>3114</v>
      </c>
      <c r="B2696" s="568" t="s">
        <v>1748</v>
      </c>
      <c r="C2696" s="568" t="s">
        <v>1748</v>
      </c>
      <c r="D2696" s="567">
        <v>9020</v>
      </c>
      <c r="E2696" s="567">
        <v>102</v>
      </c>
      <c r="F2696" s="567">
        <v>15</v>
      </c>
      <c r="G2696" s="567">
        <v>437</v>
      </c>
      <c r="H2696" s="567">
        <v>4151</v>
      </c>
      <c r="O2696"/>
    </row>
    <row r="2697" spans="1:15" x14ac:dyDescent="0.2">
      <c r="A2697" s="567">
        <v>1174</v>
      </c>
      <c r="B2697" s="568" t="s">
        <v>1390</v>
      </c>
      <c r="C2697" s="568" t="s">
        <v>1390</v>
      </c>
      <c r="D2697" s="567">
        <v>3085</v>
      </c>
      <c r="E2697" s="567">
        <v>84</v>
      </c>
      <c r="F2697" s="567">
        <v>3</v>
      </c>
      <c r="G2697" s="567">
        <v>226</v>
      </c>
      <c r="H2697" s="567">
        <v>2130</v>
      </c>
      <c r="O2697"/>
    </row>
    <row r="2698" spans="1:15" x14ac:dyDescent="0.2">
      <c r="A2698" s="567">
        <v>547</v>
      </c>
      <c r="B2698" s="568" t="s">
        <v>752</v>
      </c>
      <c r="C2698" s="568" t="s">
        <v>752</v>
      </c>
      <c r="D2698" s="567">
        <v>1140</v>
      </c>
      <c r="E2698" s="567">
        <v>67</v>
      </c>
      <c r="F2698" s="567">
        <v>1</v>
      </c>
      <c r="G2698" s="567">
        <v>118</v>
      </c>
      <c r="H2698" s="567">
        <v>1170</v>
      </c>
      <c r="O2698"/>
    </row>
    <row r="2699" spans="1:15" x14ac:dyDescent="0.2">
      <c r="A2699" s="567">
        <v>2564</v>
      </c>
      <c r="B2699" s="568" t="s">
        <v>2051</v>
      </c>
      <c r="C2699" s="568" t="s">
        <v>2051</v>
      </c>
      <c r="D2699" s="567">
        <v>7370</v>
      </c>
      <c r="E2699" s="567">
        <v>82</v>
      </c>
      <c r="F2699" s="567">
        <v>3</v>
      </c>
      <c r="G2699" s="567">
        <v>336</v>
      </c>
      <c r="H2699" s="567">
        <v>3130</v>
      </c>
      <c r="O2699"/>
    </row>
    <row r="2700" spans="1:15" x14ac:dyDescent="0.2">
      <c r="A2700" s="567">
        <v>2565</v>
      </c>
      <c r="B2700" s="568" t="s">
        <v>2051</v>
      </c>
      <c r="C2700" s="568" t="s">
        <v>2061</v>
      </c>
      <c r="D2700" s="567">
        <v>7371</v>
      </c>
      <c r="E2700" s="567">
        <v>82</v>
      </c>
      <c r="F2700" s="567">
        <v>3</v>
      </c>
      <c r="G2700" s="567">
        <v>336</v>
      </c>
      <c r="H2700" s="567">
        <v>3130</v>
      </c>
      <c r="O2700"/>
    </row>
    <row r="2701" spans="1:15" x14ac:dyDescent="0.2">
      <c r="A2701" s="567">
        <v>1067</v>
      </c>
      <c r="B2701" s="568" t="s">
        <v>1456</v>
      </c>
      <c r="C2701" s="568" t="s">
        <v>1456</v>
      </c>
      <c r="D2701" s="567">
        <v>2750</v>
      </c>
      <c r="E2701" s="567">
        <v>91</v>
      </c>
      <c r="F2701" s="567">
        <v>21</v>
      </c>
      <c r="G2701" s="567">
        <v>225</v>
      </c>
      <c r="H2701" s="567">
        <v>2140</v>
      </c>
      <c r="O2701"/>
    </row>
    <row r="2702" spans="1:15" x14ac:dyDescent="0.2">
      <c r="A2702" s="567">
        <v>1069</v>
      </c>
      <c r="B2702" s="568" t="s">
        <v>1456</v>
      </c>
      <c r="C2702" s="568" t="s">
        <v>347</v>
      </c>
      <c r="D2702" s="567">
        <v>2752</v>
      </c>
      <c r="E2702" s="567">
        <v>91</v>
      </c>
      <c r="F2702" s="567">
        <v>21</v>
      </c>
      <c r="G2702" s="567">
        <v>225</v>
      </c>
      <c r="H2702" s="567">
        <v>2140</v>
      </c>
      <c r="O2702"/>
    </row>
    <row r="2703" spans="1:15" x14ac:dyDescent="0.2">
      <c r="A2703" s="567">
        <v>1068</v>
      </c>
      <c r="B2703" s="568" t="s">
        <v>1456</v>
      </c>
      <c r="C2703" s="568" t="s">
        <v>1563</v>
      </c>
      <c r="D2703" s="567">
        <v>2751</v>
      </c>
      <c r="E2703" s="567">
        <v>91</v>
      </c>
      <c r="F2703" s="567">
        <v>21</v>
      </c>
      <c r="G2703" s="567">
        <v>225</v>
      </c>
      <c r="H2703" s="567">
        <v>2140</v>
      </c>
      <c r="O2703"/>
    </row>
    <row r="2704" spans="1:15" x14ac:dyDescent="0.2">
      <c r="A2704" s="567">
        <v>1680</v>
      </c>
      <c r="B2704" s="568" t="s">
        <v>2194</v>
      </c>
      <c r="C2704" s="568" t="s">
        <v>2194</v>
      </c>
      <c r="D2704" s="567">
        <v>4605</v>
      </c>
      <c r="E2704" s="567">
        <v>126</v>
      </c>
      <c r="F2704" s="567">
        <v>5</v>
      </c>
      <c r="G2704" s="567">
        <v>317</v>
      </c>
      <c r="H2704" s="567">
        <v>3140</v>
      </c>
      <c r="O2704"/>
    </row>
    <row r="2705" spans="1:15" x14ac:dyDescent="0.2">
      <c r="A2705" s="567">
        <v>3036</v>
      </c>
      <c r="B2705" s="568" t="s">
        <v>2720</v>
      </c>
      <c r="C2705" s="568" t="s">
        <v>2720</v>
      </c>
      <c r="D2705" s="567">
        <v>8730</v>
      </c>
      <c r="E2705" s="567">
        <v>109</v>
      </c>
      <c r="F2705" s="567">
        <v>11</v>
      </c>
      <c r="G2705" s="567">
        <v>426</v>
      </c>
      <c r="H2705" s="567">
        <v>4110</v>
      </c>
      <c r="O2705"/>
    </row>
    <row r="2706" spans="1:15" x14ac:dyDescent="0.2">
      <c r="A2706" s="567">
        <v>1793</v>
      </c>
      <c r="B2706" s="568" t="s">
        <v>2188</v>
      </c>
      <c r="C2706" s="568" t="s">
        <v>2188</v>
      </c>
      <c r="D2706" s="567">
        <v>4930</v>
      </c>
      <c r="E2706" s="567">
        <v>127</v>
      </c>
      <c r="F2706" s="567">
        <v>3</v>
      </c>
      <c r="G2706" s="567">
        <v>317</v>
      </c>
      <c r="H2706" s="567">
        <v>3140</v>
      </c>
      <c r="O2706"/>
    </row>
    <row r="2707" spans="1:15" x14ac:dyDescent="0.2">
      <c r="A2707" s="567">
        <v>1794</v>
      </c>
      <c r="B2707" s="568" t="s">
        <v>2188</v>
      </c>
      <c r="C2707" s="568" t="s">
        <v>2189</v>
      </c>
      <c r="D2707" s="567">
        <v>4931</v>
      </c>
      <c r="E2707" s="567">
        <v>127</v>
      </c>
      <c r="F2707" s="567">
        <v>3</v>
      </c>
      <c r="G2707" s="567">
        <v>317</v>
      </c>
      <c r="H2707" s="567">
        <v>3140</v>
      </c>
      <c r="O2707"/>
    </row>
    <row r="2708" spans="1:15" x14ac:dyDescent="0.2">
      <c r="A2708" s="567">
        <v>1795</v>
      </c>
      <c r="B2708" s="568" t="s">
        <v>2188</v>
      </c>
      <c r="C2708" s="568" t="s">
        <v>2190</v>
      </c>
      <c r="D2708" s="567">
        <v>4932</v>
      </c>
      <c r="E2708" s="567">
        <v>127</v>
      </c>
      <c r="F2708" s="567">
        <v>3</v>
      </c>
      <c r="G2708" s="567">
        <v>317</v>
      </c>
      <c r="H2708" s="567">
        <v>3140</v>
      </c>
      <c r="O2708"/>
    </row>
    <row r="2709" spans="1:15" x14ac:dyDescent="0.2">
      <c r="A2709" s="567">
        <v>1584</v>
      </c>
      <c r="B2709" s="568" t="s">
        <v>1210</v>
      </c>
      <c r="C2709" s="568" t="s">
        <v>1209</v>
      </c>
      <c r="D2709" s="567">
        <v>4351</v>
      </c>
      <c r="E2709" s="567">
        <v>73</v>
      </c>
      <c r="F2709" s="567">
        <v>7</v>
      </c>
      <c r="G2709" s="567">
        <v>237</v>
      </c>
      <c r="H2709" s="567">
        <v>2110</v>
      </c>
      <c r="O2709"/>
    </row>
    <row r="2710" spans="1:15" x14ac:dyDescent="0.2">
      <c r="A2710" s="567">
        <v>1585</v>
      </c>
      <c r="B2710" s="568" t="s">
        <v>1210</v>
      </c>
      <c r="C2710" s="568" t="s">
        <v>1221</v>
      </c>
      <c r="D2710" s="567">
        <v>4352</v>
      </c>
      <c r="E2710" s="567">
        <v>73</v>
      </c>
      <c r="F2710" s="567">
        <v>7</v>
      </c>
      <c r="G2710" s="567">
        <v>237</v>
      </c>
      <c r="H2710" s="567">
        <v>2110</v>
      </c>
      <c r="O2710"/>
    </row>
    <row r="2711" spans="1:15" x14ac:dyDescent="0.2">
      <c r="A2711" s="567">
        <v>1583</v>
      </c>
      <c r="B2711" s="568" t="s">
        <v>1210</v>
      </c>
      <c r="C2711" s="568" t="s">
        <v>1222</v>
      </c>
      <c r="D2711" s="567">
        <v>4350</v>
      </c>
      <c r="E2711" s="567">
        <v>73</v>
      </c>
      <c r="F2711" s="567">
        <v>7</v>
      </c>
      <c r="G2711" s="567">
        <v>237</v>
      </c>
      <c r="H2711" s="567">
        <v>2110</v>
      </c>
      <c r="O2711"/>
    </row>
    <row r="2712" spans="1:15" x14ac:dyDescent="0.2">
      <c r="A2712" s="567">
        <v>1586</v>
      </c>
      <c r="B2712" s="568" t="s">
        <v>1210</v>
      </c>
      <c r="C2712" s="568" t="s">
        <v>757</v>
      </c>
      <c r="D2712" s="567">
        <v>4353</v>
      </c>
      <c r="E2712" s="567">
        <v>73</v>
      </c>
      <c r="F2712" s="567">
        <v>7</v>
      </c>
      <c r="G2712" s="567">
        <v>237</v>
      </c>
      <c r="H2712" s="567">
        <v>2110</v>
      </c>
      <c r="O2712"/>
    </row>
    <row r="2713" spans="1:15" x14ac:dyDescent="0.2">
      <c r="A2713" s="567">
        <v>2206</v>
      </c>
      <c r="B2713" s="568" t="s">
        <v>2436</v>
      </c>
      <c r="C2713" s="568" t="s">
        <v>2435</v>
      </c>
      <c r="D2713" s="567">
        <v>6381</v>
      </c>
      <c r="E2713" s="567">
        <v>55</v>
      </c>
      <c r="F2713" s="567">
        <v>16</v>
      </c>
      <c r="G2713" s="567">
        <v>327</v>
      </c>
      <c r="H2713" s="567">
        <v>3170</v>
      </c>
      <c r="O2713"/>
    </row>
    <row r="2714" spans="1:15" x14ac:dyDescent="0.2">
      <c r="A2714" s="567">
        <v>2205</v>
      </c>
      <c r="B2714" s="568" t="s">
        <v>2436</v>
      </c>
      <c r="C2714" s="568" t="s">
        <v>2440</v>
      </c>
      <c r="D2714" s="567">
        <v>6380</v>
      </c>
      <c r="E2714" s="567">
        <v>55</v>
      </c>
      <c r="F2714" s="567">
        <v>16</v>
      </c>
      <c r="G2714" s="567">
        <v>327</v>
      </c>
      <c r="H2714" s="567">
        <v>3170</v>
      </c>
      <c r="O2714"/>
    </row>
    <row r="2715" spans="1:15" x14ac:dyDescent="0.2">
      <c r="A2715" s="567">
        <v>529</v>
      </c>
      <c r="B2715" s="568" t="s">
        <v>729</v>
      </c>
      <c r="C2715" s="568" t="s">
        <v>729</v>
      </c>
      <c r="D2715" s="567">
        <v>1070</v>
      </c>
      <c r="E2715" s="567">
        <v>68</v>
      </c>
      <c r="F2715" s="567">
        <v>2</v>
      </c>
      <c r="G2715" s="567">
        <v>118</v>
      </c>
      <c r="H2715" s="567">
        <v>1170</v>
      </c>
      <c r="O2715"/>
    </row>
    <row r="2716" spans="1:15" x14ac:dyDescent="0.2">
      <c r="A2716" s="567">
        <v>2838</v>
      </c>
      <c r="B2716" s="568" t="s">
        <v>3252</v>
      </c>
      <c r="C2716" s="568" t="s">
        <v>3252</v>
      </c>
      <c r="D2716" s="567">
        <v>8155</v>
      </c>
      <c r="E2716" s="567">
        <v>112</v>
      </c>
      <c r="F2716" s="567">
        <v>13</v>
      </c>
      <c r="G2716" s="567">
        <v>425</v>
      </c>
      <c r="H2716" s="567">
        <v>4170</v>
      </c>
      <c r="O2716"/>
    </row>
    <row r="2717" spans="1:15" x14ac:dyDescent="0.2">
      <c r="A2717" s="567">
        <v>1853</v>
      </c>
      <c r="B2717" s="568" t="s">
        <v>1805</v>
      </c>
      <c r="C2717" s="568" t="s">
        <v>1805</v>
      </c>
      <c r="D2717" s="567">
        <v>5170</v>
      </c>
      <c r="E2717" s="567">
        <v>39</v>
      </c>
      <c r="F2717" s="567">
        <v>5</v>
      </c>
      <c r="G2717" s="567">
        <v>316</v>
      </c>
      <c r="H2717" s="567">
        <v>3110</v>
      </c>
      <c r="O2717"/>
    </row>
    <row r="2718" spans="1:15" x14ac:dyDescent="0.2">
      <c r="A2718" s="567">
        <v>384</v>
      </c>
      <c r="B2718" s="568" t="s">
        <v>544</v>
      </c>
      <c r="C2718" s="568" t="s">
        <v>544</v>
      </c>
      <c r="D2718" s="567">
        <v>695</v>
      </c>
      <c r="E2718" s="567">
        <v>87</v>
      </c>
      <c r="F2718" s="567">
        <v>2</v>
      </c>
      <c r="G2718" s="567">
        <v>125</v>
      </c>
      <c r="H2718" s="567">
        <v>1150</v>
      </c>
      <c r="O2718"/>
    </row>
    <row r="2719" spans="1:15" x14ac:dyDescent="0.2">
      <c r="A2719" s="567">
        <v>3119</v>
      </c>
      <c r="B2719" s="568" t="s">
        <v>3102</v>
      </c>
      <c r="C2719" s="568" t="s">
        <v>3102</v>
      </c>
      <c r="D2719" s="567">
        <v>9040</v>
      </c>
      <c r="E2719" s="567">
        <v>104</v>
      </c>
      <c r="F2719" s="567">
        <v>14</v>
      </c>
      <c r="G2719" s="567">
        <v>437</v>
      </c>
      <c r="H2719" s="567">
        <v>4151</v>
      </c>
      <c r="O2719"/>
    </row>
    <row r="2720" spans="1:15" x14ac:dyDescent="0.2">
      <c r="A2720" s="567">
        <v>3123</v>
      </c>
      <c r="B2720" s="568" t="s">
        <v>3102</v>
      </c>
      <c r="C2720" s="568" t="s">
        <v>3110</v>
      </c>
      <c r="D2720" s="567">
        <v>9044</v>
      </c>
      <c r="E2720" s="567">
        <v>104</v>
      </c>
      <c r="F2720" s="567">
        <v>14</v>
      </c>
      <c r="G2720" s="567">
        <v>437</v>
      </c>
      <c r="H2720" s="567">
        <v>4151</v>
      </c>
      <c r="O2720"/>
    </row>
    <row r="2721" spans="1:15" x14ac:dyDescent="0.2">
      <c r="A2721" s="567">
        <v>3121</v>
      </c>
      <c r="B2721" s="568" t="s">
        <v>3102</v>
      </c>
      <c r="C2721" s="568" t="s">
        <v>3111</v>
      </c>
      <c r="D2721" s="567">
        <v>9042</v>
      </c>
      <c r="E2721" s="567">
        <v>104</v>
      </c>
      <c r="F2721" s="567">
        <v>14</v>
      </c>
      <c r="G2721" s="567">
        <v>437</v>
      </c>
      <c r="H2721" s="567">
        <v>4151</v>
      </c>
      <c r="O2721"/>
    </row>
    <row r="2722" spans="1:15" x14ac:dyDescent="0.2">
      <c r="A2722" s="567">
        <v>3120</v>
      </c>
      <c r="B2722" s="568" t="s">
        <v>3102</v>
      </c>
      <c r="C2722" s="568" t="s">
        <v>3113</v>
      </c>
      <c r="D2722" s="567">
        <v>9041</v>
      </c>
      <c r="E2722" s="567">
        <v>104</v>
      </c>
      <c r="F2722" s="567">
        <v>14</v>
      </c>
      <c r="G2722" s="567">
        <v>437</v>
      </c>
      <c r="H2722" s="567">
        <v>4151</v>
      </c>
      <c r="O2722"/>
    </row>
    <row r="2723" spans="1:15" x14ac:dyDescent="0.2">
      <c r="A2723" s="567">
        <v>3122</v>
      </c>
      <c r="B2723" s="568" t="s">
        <v>3102</v>
      </c>
      <c r="C2723" s="568" t="s">
        <v>3114</v>
      </c>
      <c r="D2723" s="567">
        <v>9043</v>
      </c>
      <c r="E2723" s="567">
        <v>104</v>
      </c>
      <c r="F2723" s="567">
        <v>14</v>
      </c>
      <c r="G2723" s="567">
        <v>437</v>
      </c>
      <c r="H2723" s="567">
        <v>4151</v>
      </c>
      <c r="O2723"/>
    </row>
    <row r="2724" spans="1:15" x14ac:dyDescent="0.2">
      <c r="A2724" s="567">
        <v>3124</v>
      </c>
      <c r="B2724" s="568" t="s">
        <v>3102</v>
      </c>
      <c r="C2724" s="568" t="s">
        <v>3115</v>
      </c>
      <c r="D2724" s="567">
        <v>9045</v>
      </c>
      <c r="E2724" s="567">
        <v>104</v>
      </c>
      <c r="F2724" s="567">
        <v>14</v>
      </c>
      <c r="G2724" s="567">
        <v>437</v>
      </c>
      <c r="H2724" s="567">
        <v>4151</v>
      </c>
      <c r="O2724"/>
    </row>
    <row r="2725" spans="1:15" x14ac:dyDescent="0.2">
      <c r="A2725" s="567">
        <v>3127</v>
      </c>
      <c r="B2725" s="568" t="s">
        <v>3117</v>
      </c>
      <c r="C2725" s="568" t="s">
        <v>3117</v>
      </c>
      <c r="D2725" s="567">
        <v>9060</v>
      </c>
      <c r="E2725" s="567">
        <v>105</v>
      </c>
      <c r="F2725" s="567">
        <v>11</v>
      </c>
      <c r="G2725" s="567">
        <v>437</v>
      </c>
      <c r="H2725" s="567">
        <v>4151</v>
      </c>
      <c r="O2725"/>
    </row>
    <row r="2726" spans="1:15" x14ac:dyDescent="0.2">
      <c r="A2726" s="567">
        <v>1546</v>
      </c>
      <c r="B2726" s="568" t="s">
        <v>1645</v>
      </c>
      <c r="C2726" s="568" t="s">
        <v>1645</v>
      </c>
      <c r="D2726" s="567">
        <v>4250</v>
      </c>
      <c r="E2726" s="567">
        <v>66</v>
      </c>
      <c r="F2726" s="567">
        <v>7</v>
      </c>
      <c r="G2726" s="567">
        <v>235</v>
      </c>
      <c r="H2726" s="567">
        <v>2160</v>
      </c>
      <c r="O2726"/>
    </row>
    <row r="2727" spans="1:15" x14ac:dyDescent="0.2">
      <c r="A2727" s="567">
        <v>1549</v>
      </c>
      <c r="B2727" s="568" t="s">
        <v>1645</v>
      </c>
      <c r="C2727" s="568" t="s">
        <v>1712</v>
      </c>
      <c r="D2727" s="567">
        <v>4253</v>
      </c>
      <c r="E2727" s="567">
        <v>66</v>
      </c>
      <c r="F2727" s="567">
        <v>7</v>
      </c>
      <c r="G2727" s="567">
        <v>235</v>
      </c>
      <c r="H2727" s="567">
        <v>2160</v>
      </c>
      <c r="O2727"/>
    </row>
    <row r="2728" spans="1:15" x14ac:dyDescent="0.2">
      <c r="A2728" s="567">
        <v>1548</v>
      </c>
      <c r="B2728" s="568" t="s">
        <v>1645</v>
      </c>
      <c r="C2728" s="568" t="s">
        <v>838</v>
      </c>
      <c r="D2728" s="567">
        <v>4252</v>
      </c>
      <c r="E2728" s="567">
        <v>66</v>
      </c>
      <c r="F2728" s="567">
        <v>7</v>
      </c>
      <c r="G2728" s="567">
        <v>235</v>
      </c>
      <c r="H2728" s="567">
        <v>2160</v>
      </c>
      <c r="O2728"/>
    </row>
    <row r="2729" spans="1:15" x14ac:dyDescent="0.2">
      <c r="A2729" s="567">
        <v>1550</v>
      </c>
      <c r="B2729" s="568" t="s">
        <v>1645</v>
      </c>
      <c r="C2729" s="568" t="s">
        <v>1715</v>
      </c>
      <c r="D2729" s="567">
        <v>4254</v>
      </c>
      <c r="E2729" s="567">
        <v>66</v>
      </c>
      <c r="F2729" s="567">
        <v>7</v>
      </c>
      <c r="G2729" s="567">
        <v>235</v>
      </c>
      <c r="H2729" s="567">
        <v>2160</v>
      </c>
      <c r="O2729"/>
    </row>
    <row r="2730" spans="1:15" x14ac:dyDescent="0.2">
      <c r="A2730" s="567">
        <v>1547</v>
      </c>
      <c r="B2730" s="568" t="s">
        <v>1645</v>
      </c>
      <c r="C2730" s="568" t="s">
        <v>1720</v>
      </c>
      <c r="D2730" s="567">
        <v>4251</v>
      </c>
      <c r="E2730" s="567">
        <v>66</v>
      </c>
      <c r="F2730" s="567">
        <v>7</v>
      </c>
      <c r="G2730" s="567">
        <v>235</v>
      </c>
      <c r="H2730" s="567">
        <v>2160</v>
      </c>
      <c r="O2730"/>
    </row>
    <row r="2731" spans="1:15" x14ac:dyDescent="0.2">
      <c r="A2731" s="567">
        <v>1518</v>
      </c>
      <c r="B2731" s="568" t="s">
        <v>1684</v>
      </c>
      <c r="C2731" s="568" t="s">
        <v>1684</v>
      </c>
      <c r="D2731" s="567">
        <v>4170</v>
      </c>
      <c r="E2731" s="567">
        <v>67</v>
      </c>
      <c r="F2731" s="567">
        <v>17</v>
      </c>
      <c r="G2731" s="567">
        <v>235</v>
      </c>
      <c r="H2731" s="567">
        <v>2160</v>
      </c>
      <c r="O2731"/>
    </row>
    <row r="2732" spans="1:15" x14ac:dyDescent="0.2">
      <c r="A2732" s="567">
        <v>1868</v>
      </c>
      <c r="B2732" s="568" t="s">
        <v>1831</v>
      </c>
      <c r="C2732" s="568" t="s">
        <v>1830</v>
      </c>
      <c r="D2732" s="567">
        <v>5214</v>
      </c>
      <c r="E2732" s="567">
        <v>42</v>
      </c>
      <c r="F2732" s="567">
        <v>6</v>
      </c>
      <c r="G2732" s="567">
        <v>316</v>
      </c>
      <c r="H2732" s="567">
        <v>3110</v>
      </c>
      <c r="O2732"/>
    </row>
    <row r="2733" spans="1:15" x14ac:dyDescent="0.2">
      <c r="A2733" s="567">
        <v>1867</v>
      </c>
      <c r="B2733" s="568" t="s">
        <v>1831</v>
      </c>
      <c r="C2733" s="568" t="s">
        <v>1834</v>
      </c>
      <c r="D2733" s="567">
        <v>5213</v>
      </c>
      <c r="E2733" s="567">
        <v>42</v>
      </c>
      <c r="F2733" s="567">
        <v>6</v>
      </c>
      <c r="G2733" s="567">
        <v>316</v>
      </c>
      <c r="H2733" s="567">
        <v>3110</v>
      </c>
      <c r="O2733"/>
    </row>
    <row r="2734" spans="1:15" x14ac:dyDescent="0.2">
      <c r="A2734" s="567">
        <v>1866</v>
      </c>
      <c r="B2734" s="568" t="s">
        <v>1831</v>
      </c>
      <c r="C2734" s="568" t="s">
        <v>1835</v>
      </c>
      <c r="D2734" s="567">
        <v>5212</v>
      </c>
      <c r="E2734" s="567">
        <v>42</v>
      </c>
      <c r="F2734" s="567">
        <v>6</v>
      </c>
      <c r="G2734" s="567">
        <v>316</v>
      </c>
      <c r="H2734" s="567">
        <v>3110</v>
      </c>
      <c r="O2734"/>
    </row>
    <row r="2735" spans="1:15" x14ac:dyDescent="0.2">
      <c r="A2735" s="567">
        <v>1865</v>
      </c>
      <c r="B2735" s="568" t="s">
        <v>1831</v>
      </c>
      <c r="C2735" s="568" t="s">
        <v>1836</v>
      </c>
      <c r="D2735" s="567">
        <v>5211</v>
      </c>
      <c r="E2735" s="567">
        <v>42</v>
      </c>
      <c r="F2735" s="567">
        <v>6</v>
      </c>
      <c r="G2735" s="567">
        <v>316</v>
      </c>
      <c r="H2735" s="567">
        <v>3110</v>
      </c>
      <c r="O2735"/>
    </row>
    <row r="2736" spans="1:15" x14ac:dyDescent="0.2">
      <c r="A2736" s="567">
        <v>1864</v>
      </c>
      <c r="B2736" s="568" t="s">
        <v>1831</v>
      </c>
      <c r="C2736" s="568" t="s">
        <v>1837</v>
      </c>
      <c r="D2736" s="567">
        <v>5210</v>
      </c>
      <c r="E2736" s="567">
        <v>42</v>
      </c>
      <c r="F2736" s="567">
        <v>6</v>
      </c>
      <c r="G2736" s="567">
        <v>316</v>
      </c>
      <c r="H2736" s="567">
        <v>3110</v>
      </c>
      <c r="O2736"/>
    </row>
    <row r="2737" spans="1:15" x14ac:dyDescent="0.2">
      <c r="A2737" s="567">
        <v>696</v>
      </c>
      <c r="B2737" s="568" t="s">
        <v>647</v>
      </c>
      <c r="C2737" s="568" t="s">
        <v>646</v>
      </c>
      <c r="D2737" s="567">
        <v>1532</v>
      </c>
      <c r="E2737" s="567">
        <v>45</v>
      </c>
      <c r="F2737" s="567">
        <v>2</v>
      </c>
      <c r="G2737" s="567">
        <v>115</v>
      </c>
      <c r="H2737" s="567">
        <v>1161</v>
      </c>
      <c r="O2737"/>
    </row>
    <row r="2738" spans="1:15" x14ac:dyDescent="0.2">
      <c r="A2738" s="567">
        <v>694</v>
      </c>
      <c r="B2738" s="568" t="s">
        <v>647</v>
      </c>
      <c r="C2738" s="568" t="s">
        <v>647</v>
      </c>
      <c r="D2738" s="567">
        <v>1530</v>
      </c>
      <c r="E2738" s="567">
        <v>45</v>
      </c>
      <c r="F2738" s="567">
        <v>2</v>
      </c>
      <c r="G2738" s="567">
        <v>115</v>
      </c>
      <c r="H2738" s="567">
        <v>1161</v>
      </c>
      <c r="O2738"/>
    </row>
    <row r="2739" spans="1:15" x14ac:dyDescent="0.2">
      <c r="A2739" s="567">
        <v>695</v>
      </c>
      <c r="B2739" s="568" t="s">
        <v>647</v>
      </c>
      <c r="C2739" s="568" t="s">
        <v>651</v>
      </c>
      <c r="D2739" s="567">
        <v>1531</v>
      </c>
      <c r="E2739" s="567">
        <v>45</v>
      </c>
      <c r="F2739" s="567">
        <v>2</v>
      </c>
      <c r="G2739" s="567">
        <v>115</v>
      </c>
      <c r="H2739" s="567">
        <v>1161</v>
      </c>
      <c r="O2739"/>
    </row>
    <row r="2740" spans="1:15" x14ac:dyDescent="0.2">
      <c r="A2740" s="567">
        <v>2293</v>
      </c>
      <c r="B2740" s="568" t="s">
        <v>2347</v>
      </c>
      <c r="C2740" s="568" t="s">
        <v>1584</v>
      </c>
      <c r="D2740" s="567">
        <v>6620</v>
      </c>
      <c r="E2740" s="567">
        <v>75</v>
      </c>
      <c r="F2740" s="567">
        <v>4</v>
      </c>
      <c r="G2740" s="567">
        <v>335</v>
      </c>
      <c r="H2740" s="567">
        <v>3151</v>
      </c>
      <c r="O2740"/>
    </row>
    <row r="2741" spans="1:15" x14ac:dyDescent="0.2">
      <c r="A2741" s="567">
        <v>2294</v>
      </c>
      <c r="B2741" s="568" t="s">
        <v>2347</v>
      </c>
      <c r="C2741" s="568" t="s">
        <v>838</v>
      </c>
      <c r="D2741" s="567">
        <v>6621</v>
      </c>
      <c r="E2741" s="567">
        <v>75</v>
      </c>
      <c r="F2741" s="567">
        <v>4</v>
      </c>
      <c r="G2741" s="567">
        <v>335</v>
      </c>
      <c r="H2741" s="567">
        <v>3151</v>
      </c>
      <c r="O2741"/>
    </row>
    <row r="2742" spans="1:15" x14ac:dyDescent="0.2">
      <c r="A2742" s="567">
        <v>2295</v>
      </c>
      <c r="B2742" s="568" t="s">
        <v>2347</v>
      </c>
      <c r="C2742" s="568" t="s">
        <v>2348</v>
      </c>
      <c r="D2742" s="567">
        <v>6622</v>
      </c>
      <c r="E2742" s="567">
        <v>75</v>
      </c>
      <c r="F2742" s="567">
        <v>4</v>
      </c>
      <c r="G2742" s="567">
        <v>335</v>
      </c>
      <c r="H2742" s="567">
        <v>3151</v>
      </c>
      <c r="O2742"/>
    </row>
    <row r="2743" spans="1:15" x14ac:dyDescent="0.2">
      <c r="A2743" s="567">
        <v>2296</v>
      </c>
      <c r="B2743" s="568" t="s">
        <v>2347</v>
      </c>
      <c r="C2743" s="568" t="s">
        <v>2349</v>
      </c>
      <c r="D2743" s="567">
        <v>6623</v>
      </c>
      <c r="E2743" s="567">
        <v>75</v>
      </c>
      <c r="F2743" s="567">
        <v>4</v>
      </c>
      <c r="G2743" s="567">
        <v>335</v>
      </c>
      <c r="H2743" s="567">
        <v>3151</v>
      </c>
      <c r="O2743"/>
    </row>
    <row r="2744" spans="1:15" x14ac:dyDescent="0.2">
      <c r="A2744" s="567">
        <v>2297</v>
      </c>
      <c r="B2744" s="568" t="s">
        <v>2347</v>
      </c>
      <c r="C2744" s="568" t="s">
        <v>430</v>
      </c>
      <c r="D2744" s="567">
        <v>6624</v>
      </c>
      <c r="E2744" s="567">
        <v>75</v>
      </c>
      <c r="F2744" s="567">
        <v>4</v>
      </c>
      <c r="G2744" s="567">
        <v>335</v>
      </c>
      <c r="H2744" s="567">
        <v>3151</v>
      </c>
      <c r="O2744"/>
    </row>
    <row r="2745" spans="1:15" x14ac:dyDescent="0.2">
      <c r="A2745" s="567">
        <v>2298</v>
      </c>
      <c r="B2745" s="568" t="s">
        <v>2347</v>
      </c>
      <c r="C2745" s="568" t="s">
        <v>1897</v>
      </c>
      <c r="D2745" s="567">
        <v>6625</v>
      </c>
      <c r="E2745" s="567">
        <v>75</v>
      </c>
      <c r="F2745" s="567">
        <v>4</v>
      </c>
      <c r="G2745" s="567">
        <v>335</v>
      </c>
      <c r="H2745" s="567">
        <v>3151</v>
      </c>
      <c r="O2745"/>
    </row>
    <row r="2746" spans="1:15" x14ac:dyDescent="0.2">
      <c r="A2746" s="567">
        <v>2299</v>
      </c>
      <c r="B2746" s="568" t="s">
        <v>2347</v>
      </c>
      <c r="C2746" s="568" t="s">
        <v>2350</v>
      </c>
      <c r="D2746" s="567">
        <v>6626</v>
      </c>
      <c r="E2746" s="567">
        <v>75</v>
      </c>
      <c r="F2746" s="567">
        <v>4</v>
      </c>
      <c r="G2746" s="567">
        <v>335</v>
      </c>
      <c r="H2746" s="567">
        <v>3151</v>
      </c>
      <c r="O2746"/>
    </row>
    <row r="2747" spans="1:15" x14ac:dyDescent="0.2">
      <c r="A2747" s="567">
        <v>1226</v>
      </c>
      <c r="B2747" s="568" t="s">
        <v>1409</v>
      </c>
      <c r="C2747" s="568" t="s">
        <v>1408</v>
      </c>
      <c r="D2747" s="567">
        <v>3286</v>
      </c>
      <c r="E2747" s="567">
        <v>85</v>
      </c>
      <c r="F2747" s="567">
        <v>2</v>
      </c>
      <c r="G2747" s="567">
        <v>226</v>
      </c>
      <c r="H2747" s="567">
        <v>2130</v>
      </c>
      <c r="O2747"/>
    </row>
    <row r="2748" spans="1:15" x14ac:dyDescent="0.2">
      <c r="A2748" s="567">
        <v>1220</v>
      </c>
      <c r="B2748" s="568" t="s">
        <v>1409</v>
      </c>
      <c r="C2748" s="568" t="s">
        <v>1409</v>
      </c>
      <c r="D2748" s="567">
        <v>3280</v>
      </c>
      <c r="E2748" s="567">
        <v>85</v>
      </c>
      <c r="F2748" s="567">
        <v>2</v>
      </c>
      <c r="G2748" s="567">
        <v>226</v>
      </c>
      <c r="H2748" s="567">
        <v>2130</v>
      </c>
      <c r="O2748"/>
    </row>
    <row r="2749" spans="1:15" x14ac:dyDescent="0.2">
      <c r="A2749" s="567">
        <v>1221</v>
      </c>
      <c r="B2749" s="568" t="s">
        <v>1409</v>
      </c>
      <c r="C2749" s="568" t="s">
        <v>1415</v>
      </c>
      <c r="D2749" s="567">
        <v>3281</v>
      </c>
      <c r="E2749" s="567">
        <v>85</v>
      </c>
      <c r="F2749" s="567">
        <v>2</v>
      </c>
      <c r="G2749" s="567">
        <v>226</v>
      </c>
      <c r="H2749" s="567">
        <v>2130</v>
      </c>
      <c r="O2749"/>
    </row>
    <row r="2750" spans="1:15" x14ac:dyDescent="0.2">
      <c r="A2750" s="567">
        <v>1222</v>
      </c>
      <c r="B2750" s="568" t="s">
        <v>1409</v>
      </c>
      <c r="C2750" s="568" t="s">
        <v>1416</v>
      </c>
      <c r="D2750" s="567">
        <v>3282</v>
      </c>
      <c r="E2750" s="567">
        <v>85</v>
      </c>
      <c r="F2750" s="567">
        <v>2</v>
      </c>
      <c r="G2750" s="567">
        <v>226</v>
      </c>
      <c r="H2750" s="567">
        <v>2130</v>
      </c>
      <c r="O2750"/>
    </row>
    <row r="2751" spans="1:15" x14ac:dyDescent="0.2">
      <c r="A2751" s="567">
        <v>1223</v>
      </c>
      <c r="B2751" s="568" t="s">
        <v>1409</v>
      </c>
      <c r="C2751" s="568" t="s">
        <v>1417</v>
      </c>
      <c r="D2751" s="567">
        <v>3283</v>
      </c>
      <c r="E2751" s="567">
        <v>85</v>
      </c>
      <c r="F2751" s="567">
        <v>2</v>
      </c>
      <c r="G2751" s="567">
        <v>226</v>
      </c>
      <c r="H2751" s="567">
        <v>2130</v>
      </c>
      <c r="O2751"/>
    </row>
    <row r="2752" spans="1:15" x14ac:dyDescent="0.2">
      <c r="A2752" s="567">
        <v>1225</v>
      </c>
      <c r="B2752" s="568" t="s">
        <v>1409</v>
      </c>
      <c r="C2752" s="568" t="s">
        <v>1418</v>
      </c>
      <c r="D2752" s="567">
        <v>3285</v>
      </c>
      <c r="E2752" s="567">
        <v>85</v>
      </c>
      <c r="F2752" s="567">
        <v>2</v>
      </c>
      <c r="G2752" s="567">
        <v>226</v>
      </c>
      <c r="H2752" s="567">
        <v>2130</v>
      </c>
      <c r="O2752"/>
    </row>
    <row r="2753" spans="1:15" x14ac:dyDescent="0.2">
      <c r="A2753" s="567">
        <v>1227</v>
      </c>
      <c r="B2753" s="568" t="s">
        <v>1409</v>
      </c>
      <c r="C2753" s="568" t="s">
        <v>1421</v>
      </c>
      <c r="D2753" s="567">
        <v>3287</v>
      </c>
      <c r="E2753" s="567">
        <v>85</v>
      </c>
      <c r="F2753" s="567">
        <v>2</v>
      </c>
      <c r="G2753" s="567">
        <v>226</v>
      </c>
      <c r="H2753" s="567">
        <v>2130</v>
      </c>
      <c r="O2753"/>
    </row>
    <row r="2754" spans="1:15" x14ac:dyDescent="0.2">
      <c r="A2754" s="567">
        <v>1228</v>
      </c>
      <c r="B2754" s="568" t="s">
        <v>1409</v>
      </c>
      <c r="C2754" s="568" t="s">
        <v>1422</v>
      </c>
      <c r="D2754" s="567">
        <v>3288</v>
      </c>
      <c r="E2754" s="567">
        <v>85</v>
      </c>
      <c r="F2754" s="567">
        <v>2</v>
      </c>
      <c r="G2754" s="567">
        <v>226</v>
      </c>
      <c r="H2754" s="567">
        <v>2130</v>
      </c>
      <c r="O2754"/>
    </row>
    <row r="2755" spans="1:15" x14ac:dyDescent="0.2">
      <c r="A2755" s="567">
        <v>1229</v>
      </c>
      <c r="B2755" s="568" t="s">
        <v>1409</v>
      </c>
      <c r="C2755" s="568" t="s">
        <v>626</v>
      </c>
      <c r="D2755" s="567">
        <v>3289</v>
      </c>
      <c r="E2755" s="567">
        <v>85</v>
      </c>
      <c r="F2755" s="567">
        <v>2</v>
      </c>
      <c r="G2755" s="567">
        <v>226</v>
      </c>
      <c r="H2755" s="567">
        <v>2130</v>
      </c>
      <c r="O2755"/>
    </row>
    <row r="2756" spans="1:15" x14ac:dyDescent="0.2">
      <c r="A2756" s="567">
        <v>1230</v>
      </c>
      <c r="B2756" s="568" t="s">
        <v>1409</v>
      </c>
      <c r="C2756" s="568" t="s">
        <v>1423</v>
      </c>
      <c r="D2756" s="567">
        <v>3290</v>
      </c>
      <c r="E2756" s="567">
        <v>85</v>
      </c>
      <c r="F2756" s="567">
        <v>2</v>
      </c>
      <c r="G2756" s="567">
        <v>226</v>
      </c>
      <c r="H2756" s="567">
        <v>2130</v>
      </c>
      <c r="O2756"/>
    </row>
    <row r="2757" spans="1:15" x14ac:dyDescent="0.2">
      <c r="A2757" s="567">
        <v>1231</v>
      </c>
      <c r="B2757" s="568" t="s">
        <v>1409</v>
      </c>
      <c r="C2757" s="568" t="s">
        <v>1424</v>
      </c>
      <c r="D2757" s="567">
        <v>3291</v>
      </c>
      <c r="E2757" s="567">
        <v>85</v>
      </c>
      <c r="F2757" s="567">
        <v>2</v>
      </c>
      <c r="G2757" s="567">
        <v>226</v>
      </c>
      <c r="H2757" s="567">
        <v>2130</v>
      </c>
      <c r="O2757"/>
    </row>
    <row r="2758" spans="1:15" x14ac:dyDescent="0.2">
      <c r="A2758" s="567">
        <v>1232</v>
      </c>
      <c r="B2758" s="568" t="s">
        <v>1409</v>
      </c>
      <c r="C2758" s="568" t="s">
        <v>126</v>
      </c>
      <c r="D2758" s="567">
        <v>3292</v>
      </c>
      <c r="E2758" s="567">
        <v>85</v>
      </c>
      <c r="F2758" s="567">
        <v>2</v>
      </c>
      <c r="G2758" s="567">
        <v>226</v>
      </c>
      <c r="H2758" s="567">
        <v>2130</v>
      </c>
      <c r="O2758"/>
    </row>
    <row r="2759" spans="1:15" x14ac:dyDescent="0.2">
      <c r="A2759" s="567">
        <v>1224</v>
      </c>
      <c r="B2759" s="568" t="s">
        <v>1409</v>
      </c>
      <c r="C2759" s="568" t="s">
        <v>955</v>
      </c>
      <c r="D2759" s="567">
        <v>3284</v>
      </c>
      <c r="E2759" s="567">
        <v>85</v>
      </c>
      <c r="F2759" s="567">
        <v>2</v>
      </c>
      <c r="G2759" s="567">
        <v>226</v>
      </c>
      <c r="H2759" s="567">
        <v>2130</v>
      </c>
      <c r="O2759"/>
    </row>
    <row r="2760" spans="1:15" x14ac:dyDescent="0.2">
      <c r="A2760" s="567">
        <v>1375</v>
      </c>
      <c r="B2760" s="568" t="s">
        <v>1111</v>
      </c>
      <c r="C2760" s="568" t="s">
        <v>1111</v>
      </c>
      <c r="D2760" s="567">
        <v>3755</v>
      </c>
      <c r="E2760" s="567">
        <v>49</v>
      </c>
      <c r="F2760" s="567">
        <v>3</v>
      </c>
      <c r="G2760" s="567">
        <v>216</v>
      </c>
      <c r="H2760" s="567">
        <v>2100</v>
      </c>
      <c r="O2760"/>
    </row>
    <row r="2761" spans="1:15" x14ac:dyDescent="0.2">
      <c r="A2761" s="567">
        <v>1376</v>
      </c>
      <c r="B2761" s="568" t="s">
        <v>1111</v>
      </c>
      <c r="C2761" s="568" t="s">
        <v>1112</v>
      </c>
      <c r="D2761" s="567">
        <v>3756</v>
      </c>
      <c r="E2761" s="567">
        <v>49</v>
      </c>
      <c r="F2761" s="567">
        <v>3</v>
      </c>
      <c r="G2761" s="567">
        <v>216</v>
      </c>
      <c r="H2761" s="567">
        <v>2100</v>
      </c>
      <c r="O2761"/>
    </row>
    <row r="2762" spans="1:15" x14ac:dyDescent="0.2">
      <c r="A2762" s="567">
        <v>3325</v>
      </c>
      <c r="B2762" s="568" t="s">
        <v>3136</v>
      </c>
      <c r="C2762" s="568" t="s">
        <v>3136</v>
      </c>
      <c r="D2762" s="567">
        <v>9710</v>
      </c>
      <c r="E2762" s="567">
        <v>53</v>
      </c>
      <c r="F2762" s="567">
        <v>4</v>
      </c>
      <c r="G2762" s="567">
        <v>435</v>
      </c>
      <c r="H2762" s="567">
        <v>4160</v>
      </c>
      <c r="O2762"/>
    </row>
    <row r="2763" spans="1:15" x14ac:dyDescent="0.2">
      <c r="A2763" s="567">
        <v>1916</v>
      </c>
      <c r="B2763" s="568" t="s">
        <v>1879</v>
      </c>
      <c r="C2763" s="568" t="s">
        <v>1879</v>
      </c>
      <c r="D2763" s="567">
        <v>5410</v>
      </c>
      <c r="E2763" s="567">
        <v>107</v>
      </c>
      <c r="F2763" s="567">
        <v>3</v>
      </c>
      <c r="G2763" s="567">
        <v>315</v>
      </c>
      <c r="H2763" s="567">
        <v>3120</v>
      </c>
      <c r="O2763"/>
    </row>
    <row r="2764" spans="1:15" x14ac:dyDescent="0.2">
      <c r="A2764" s="567">
        <v>2682</v>
      </c>
      <c r="B2764" s="568" t="s">
        <v>2891</v>
      </c>
      <c r="C2764" s="568" t="s">
        <v>2890</v>
      </c>
      <c r="D2764" s="567">
        <v>7731</v>
      </c>
      <c r="E2764" s="567">
        <v>91</v>
      </c>
      <c r="F2764" s="567">
        <v>14</v>
      </c>
      <c r="G2764" s="567">
        <v>415</v>
      </c>
      <c r="H2764" s="567">
        <v>4131</v>
      </c>
      <c r="O2764"/>
    </row>
    <row r="2765" spans="1:15" x14ac:dyDescent="0.2">
      <c r="A2765" s="567">
        <v>2684</v>
      </c>
      <c r="B2765" s="568" t="s">
        <v>2891</v>
      </c>
      <c r="C2765" s="568" t="s">
        <v>2893</v>
      </c>
      <c r="D2765" s="567">
        <v>7733</v>
      </c>
      <c r="E2765" s="567">
        <v>91</v>
      </c>
      <c r="F2765" s="567">
        <v>14</v>
      </c>
      <c r="G2765" s="567">
        <v>415</v>
      </c>
      <c r="H2765" s="567">
        <v>4131</v>
      </c>
      <c r="O2765"/>
    </row>
    <row r="2766" spans="1:15" x14ac:dyDescent="0.2">
      <c r="A2766" s="567">
        <v>2683</v>
      </c>
      <c r="B2766" s="568" t="s">
        <v>2891</v>
      </c>
      <c r="C2766" s="568" t="s">
        <v>2917</v>
      </c>
      <c r="D2766" s="567">
        <v>7732</v>
      </c>
      <c r="E2766" s="567">
        <v>91</v>
      </c>
      <c r="F2766" s="567">
        <v>14</v>
      </c>
      <c r="G2766" s="567">
        <v>415</v>
      </c>
      <c r="H2766" s="567">
        <v>4131</v>
      </c>
      <c r="O2766"/>
    </row>
    <row r="2767" spans="1:15" x14ac:dyDescent="0.2">
      <c r="A2767" s="567">
        <v>2681</v>
      </c>
      <c r="B2767" s="568" t="s">
        <v>2891</v>
      </c>
      <c r="C2767" s="568" t="s">
        <v>2928</v>
      </c>
      <c r="D2767" s="567">
        <v>7730</v>
      </c>
      <c r="E2767" s="567">
        <v>91</v>
      </c>
      <c r="F2767" s="567">
        <v>14</v>
      </c>
      <c r="G2767" s="567">
        <v>415</v>
      </c>
      <c r="H2767" s="567">
        <v>4131</v>
      </c>
      <c r="O2767"/>
    </row>
    <row r="2768" spans="1:15" x14ac:dyDescent="0.2">
      <c r="A2768" s="567">
        <v>1006</v>
      </c>
      <c r="B2768" s="568" t="s">
        <v>494</v>
      </c>
      <c r="C2768" s="568" t="s">
        <v>493</v>
      </c>
      <c r="D2768" s="567">
        <v>2610</v>
      </c>
      <c r="E2768" s="567">
        <v>31</v>
      </c>
      <c r="F2768" s="567">
        <v>13</v>
      </c>
      <c r="G2768" s="567">
        <v>135</v>
      </c>
      <c r="H2768" s="567">
        <v>1140</v>
      </c>
      <c r="O2768"/>
    </row>
    <row r="2769" spans="1:15" x14ac:dyDescent="0.2">
      <c r="A2769" s="567">
        <v>2185</v>
      </c>
      <c r="B2769" s="568" t="s">
        <v>2449</v>
      </c>
      <c r="C2769" s="568" t="s">
        <v>2449</v>
      </c>
      <c r="D2769" s="567">
        <v>6270</v>
      </c>
      <c r="E2769" s="567">
        <v>46</v>
      </c>
      <c r="F2769" s="567">
        <v>16</v>
      </c>
      <c r="G2769" s="567">
        <v>327</v>
      </c>
      <c r="H2769" s="567">
        <v>3170</v>
      </c>
      <c r="O2769"/>
    </row>
    <row r="2770" spans="1:15" x14ac:dyDescent="0.2">
      <c r="A2770" s="567">
        <v>1185</v>
      </c>
      <c r="B2770" s="568" t="s">
        <v>1432</v>
      </c>
      <c r="C2770" s="568" t="s">
        <v>1432</v>
      </c>
      <c r="D2770" s="567">
        <v>3135</v>
      </c>
      <c r="E2770" s="567">
        <v>86</v>
      </c>
      <c r="F2770" s="567">
        <v>2</v>
      </c>
      <c r="G2770" s="567">
        <v>226</v>
      </c>
      <c r="H2770" s="567">
        <v>2130</v>
      </c>
      <c r="O2770"/>
    </row>
    <row r="2771" spans="1:15" x14ac:dyDescent="0.2">
      <c r="A2771" s="567">
        <v>556</v>
      </c>
      <c r="B2771" s="568" t="s">
        <v>171</v>
      </c>
      <c r="C2771" s="568" t="s">
        <v>171</v>
      </c>
      <c r="D2771" s="567">
        <v>1180</v>
      </c>
      <c r="E2771" s="567">
        <v>69</v>
      </c>
      <c r="F2771" s="567">
        <v>19</v>
      </c>
      <c r="G2771" s="567">
        <v>119</v>
      </c>
      <c r="H2771" s="567">
        <v>1110</v>
      </c>
      <c r="O2771"/>
    </row>
    <row r="2772" spans="1:15" x14ac:dyDescent="0.2">
      <c r="A2772" s="567">
        <v>558</v>
      </c>
      <c r="B2772" s="568" t="s">
        <v>171</v>
      </c>
      <c r="C2772" s="568" t="s">
        <v>238</v>
      </c>
      <c r="D2772" s="567">
        <v>1182</v>
      </c>
      <c r="E2772" s="567">
        <v>69</v>
      </c>
      <c r="F2772" s="567">
        <v>19</v>
      </c>
      <c r="G2772" s="567">
        <v>119</v>
      </c>
      <c r="H2772" s="567">
        <v>1110</v>
      </c>
      <c r="O2772"/>
    </row>
    <row r="2773" spans="1:15" x14ac:dyDescent="0.2">
      <c r="A2773" s="567">
        <v>557</v>
      </c>
      <c r="B2773" s="568" t="s">
        <v>171</v>
      </c>
      <c r="C2773" s="568" t="s">
        <v>239</v>
      </c>
      <c r="D2773" s="567">
        <v>1181</v>
      </c>
      <c r="E2773" s="567">
        <v>69</v>
      </c>
      <c r="F2773" s="567">
        <v>19</v>
      </c>
      <c r="G2773" s="567">
        <v>119</v>
      </c>
      <c r="H2773" s="567">
        <v>1110</v>
      </c>
      <c r="O2773"/>
    </row>
    <row r="2774" spans="1:15" x14ac:dyDescent="0.2">
      <c r="A2774" s="567">
        <v>906</v>
      </c>
      <c r="B2774" s="568" t="s">
        <v>64</v>
      </c>
      <c r="C2774" s="568" t="s">
        <v>64</v>
      </c>
      <c r="D2774" s="567">
        <v>2325</v>
      </c>
      <c r="E2774" s="567">
        <v>66</v>
      </c>
      <c r="F2774" s="567">
        <v>19</v>
      </c>
      <c r="G2774" s="567">
        <v>136</v>
      </c>
      <c r="H2774" s="567">
        <v>1101</v>
      </c>
      <c r="O2774"/>
    </row>
    <row r="2775" spans="1:15" x14ac:dyDescent="0.2">
      <c r="A2775" s="567">
        <v>2366</v>
      </c>
      <c r="B2775" s="568" t="s">
        <v>2517</v>
      </c>
      <c r="C2775" s="568" t="s">
        <v>2516</v>
      </c>
      <c r="D2775" s="567">
        <v>6802</v>
      </c>
      <c r="E2775" s="567">
        <v>97</v>
      </c>
      <c r="F2775" s="567">
        <v>6</v>
      </c>
      <c r="G2775" s="567">
        <v>337</v>
      </c>
      <c r="H2775" s="567">
        <v>3180</v>
      </c>
      <c r="O2775"/>
    </row>
    <row r="2776" spans="1:15" x14ac:dyDescent="0.2">
      <c r="A2776" s="567">
        <v>2364</v>
      </c>
      <c r="B2776" s="568" t="s">
        <v>2517</v>
      </c>
      <c r="C2776" s="568" t="s">
        <v>2517</v>
      </c>
      <c r="D2776" s="567">
        <v>6800</v>
      </c>
      <c r="E2776" s="567">
        <v>97</v>
      </c>
      <c r="F2776" s="567">
        <v>6</v>
      </c>
      <c r="G2776" s="567">
        <v>337</v>
      </c>
      <c r="H2776" s="567">
        <v>3180</v>
      </c>
      <c r="O2776"/>
    </row>
    <row r="2777" spans="1:15" x14ac:dyDescent="0.2">
      <c r="A2777" s="567">
        <v>2367</v>
      </c>
      <c r="B2777" s="568" t="s">
        <v>2517</v>
      </c>
      <c r="C2777" s="568" t="s">
        <v>2582</v>
      </c>
      <c r="D2777" s="567">
        <v>6803</v>
      </c>
      <c r="E2777" s="567">
        <v>97</v>
      </c>
      <c r="F2777" s="567">
        <v>6</v>
      </c>
      <c r="G2777" s="567">
        <v>337</v>
      </c>
      <c r="H2777" s="567">
        <v>3180</v>
      </c>
      <c r="O2777"/>
    </row>
    <row r="2778" spans="1:15" x14ac:dyDescent="0.2">
      <c r="A2778" s="567">
        <v>2365</v>
      </c>
      <c r="B2778" s="568" t="s">
        <v>2517</v>
      </c>
      <c r="C2778" s="568" t="s">
        <v>2593</v>
      </c>
      <c r="D2778" s="567">
        <v>6801</v>
      </c>
      <c r="E2778" s="567">
        <v>97</v>
      </c>
      <c r="F2778" s="567">
        <v>6</v>
      </c>
      <c r="G2778" s="567">
        <v>337</v>
      </c>
      <c r="H2778" s="567">
        <v>3180</v>
      </c>
      <c r="O2778"/>
    </row>
    <row r="2779" spans="1:15" x14ac:dyDescent="0.2">
      <c r="A2779" s="567">
        <v>2105</v>
      </c>
      <c r="B2779" s="568" t="s">
        <v>1744</v>
      </c>
      <c r="C2779" s="568" t="s">
        <v>1743</v>
      </c>
      <c r="D2779" s="567">
        <v>6025</v>
      </c>
      <c r="E2779" s="567">
        <v>52</v>
      </c>
      <c r="F2779" s="567">
        <v>6</v>
      </c>
      <c r="G2779" s="567">
        <v>326</v>
      </c>
      <c r="H2779" s="567">
        <v>3100</v>
      </c>
      <c r="O2779"/>
    </row>
    <row r="2780" spans="1:15" x14ac:dyDescent="0.2">
      <c r="A2780" s="567">
        <v>2100</v>
      </c>
      <c r="B2780" s="568" t="s">
        <v>1744</v>
      </c>
      <c r="C2780" s="568" t="s">
        <v>1765</v>
      </c>
      <c r="D2780" s="567">
        <v>6020</v>
      </c>
      <c r="E2780" s="567">
        <v>52</v>
      </c>
      <c r="F2780" s="567">
        <v>6</v>
      </c>
      <c r="G2780" s="567">
        <v>326</v>
      </c>
      <c r="H2780" s="567">
        <v>3100</v>
      </c>
      <c r="O2780"/>
    </row>
    <row r="2781" spans="1:15" x14ac:dyDescent="0.2">
      <c r="A2781" s="567">
        <v>2101</v>
      </c>
      <c r="B2781" s="568" t="s">
        <v>1744</v>
      </c>
      <c r="C2781" s="568" t="s">
        <v>1766</v>
      </c>
      <c r="D2781" s="567">
        <v>6021</v>
      </c>
      <c r="E2781" s="567">
        <v>52</v>
      </c>
      <c r="F2781" s="567">
        <v>6</v>
      </c>
      <c r="G2781" s="567">
        <v>326</v>
      </c>
      <c r="H2781" s="567">
        <v>3100</v>
      </c>
      <c r="O2781"/>
    </row>
    <row r="2782" spans="1:15" x14ac:dyDescent="0.2">
      <c r="A2782" s="567">
        <v>2102</v>
      </c>
      <c r="B2782" s="568" t="s">
        <v>1744</v>
      </c>
      <c r="C2782" s="568" t="s">
        <v>1767</v>
      </c>
      <c r="D2782" s="567">
        <v>6022</v>
      </c>
      <c r="E2782" s="567">
        <v>52</v>
      </c>
      <c r="F2782" s="567">
        <v>6</v>
      </c>
      <c r="G2782" s="567">
        <v>326</v>
      </c>
      <c r="H2782" s="567">
        <v>3100</v>
      </c>
      <c r="O2782"/>
    </row>
    <row r="2783" spans="1:15" x14ac:dyDescent="0.2">
      <c r="A2783" s="567">
        <v>2103</v>
      </c>
      <c r="B2783" s="568" t="s">
        <v>1744</v>
      </c>
      <c r="C2783" s="568" t="s">
        <v>1768</v>
      </c>
      <c r="D2783" s="567">
        <v>6023</v>
      </c>
      <c r="E2783" s="567">
        <v>52</v>
      </c>
      <c r="F2783" s="567">
        <v>6</v>
      </c>
      <c r="G2783" s="567">
        <v>326</v>
      </c>
      <c r="H2783" s="567">
        <v>3100</v>
      </c>
      <c r="O2783"/>
    </row>
    <row r="2784" spans="1:15" x14ac:dyDescent="0.2">
      <c r="A2784" s="567">
        <v>2104</v>
      </c>
      <c r="B2784" s="568" t="s">
        <v>1744</v>
      </c>
      <c r="C2784" s="568" t="s">
        <v>1199</v>
      </c>
      <c r="D2784" s="567">
        <v>6024</v>
      </c>
      <c r="E2784" s="567">
        <v>52</v>
      </c>
      <c r="F2784" s="567">
        <v>6</v>
      </c>
      <c r="G2784" s="567">
        <v>326</v>
      </c>
      <c r="H2784" s="567">
        <v>3100</v>
      </c>
      <c r="O2784"/>
    </row>
    <row r="2785" spans="1:15" x14ac:dyDescent="0.2">
      <c r="A2785" s="567">
        <v>2675</v>
      </c>
      <c r="B2785" s="568" t="s">
        <v>2922</v>
      </c>
      <c r="C2785" s="568" t="s">
        <v>2921</v>
      </c>
      <c r="D2785" s="567">
        <v>7704</v>
      </c>
      <c r="E2785" s="567">
        <v>93</v>
      </c>
      <c r="F2785" s="567">
        <v>14</v>
      </c>
      <c r="G2785" s="567">
        <v>415</v>
      </c>
      <c r="H2785" s="567">
        <v>4131</v>
      </c>
      <c r="O2785"/>
    </row>
    <row r="2786" spans="1:15" x14ac:dyDescent="0.2">
      <c r="A2786" s="567">
        <v>2676</v>
      </c>
      <c r="B2786" s="568" t="s">
        <v>2922</v>
      </c>
      <c r="C2786" s="568" t="s">
        <v>2923</v>
      </c>
      <c r="D2786" s="567">
        <v>7705</v>
      </c>
      <c r="E2786" s="567">
        <v>93</v>
      </c>
      <c r="F2786" s="567">
        <v>14</v>
      </c>
      <c r="G2786" s="567">
        <v>415</v>
      </c>
      <c r="H2786" s="567">
        <v>4131</v>
      </c>
      <c r="O2786"/>
    </row>
    <row r="2787" spans="1:15" x14ac:dyDescent="0.2">
      <c r="A2787" s="567">
        <v>2672</v>
      </c>
      <c r="B2787" s="568" t="s">
        <v>2922</v>
      </c>
      <c r="C2787" s="568" t="s">
        <v>2931</v>
      </c>
      <c r="D2787" s="567">
        <v>7701</v>
      </c>
      <c r="E2787" s="567">
        <v>93</v>
      </c>
      <c r="F2787" s="567">
        <v>14</v>
      </c>
      <c r="G2787" s="567">
        <v>415</v>
      </c>
      <c r="H2787" s="567">
        <v>4131</v>
      </c>
      <c r="O2787"/>
    </row>
    <row r="2788" spans="1:15" x14ac:dyDescent="0.2">
      <c r="A2788" s="567">
        <v>2674</v>
      </c>
      <c r="B2788" s="568" t="s">
        <v>2922</v>
      </c>
      <c r="C2788" s="568" t="s">
        <v>2942</v>
      </c>
      <c r="D2788" s="567">
        <v>7703</v>
      </c>
      <c r="E2788" s="567">
        <v>93</v>
      </c>
      <c r="F2788" s="567">
        <v>14</v>
      </c>
      <c r="G2788" s="567">
        <v>415</v>
      </c>
      <c r="H2788" s="567">
        <v>4131</v>
      </c>
      <c r="O2788"/>
    </row>
    <row r="2789" spans="1:15" x14ac:dyDescent="0.2">
      <c r="A2789" s="567">
        <v>2673</v>
      </c>
      <c r="B2789" s="568" t="s">
        <v>2922</v>
      </c>
      <c r="C2789" s="568" t="s">
        <v>2944</v>
      </c>
      <c r="D2789" s="567">
        <v>7702</v>
      </c>
      <c r="E2789" s="567">
        <v>93</v>
      </c>
      <c r="F2789" s="567">
        <v>14</v>
      </c>
      <c r="G2789" s="567">
        <v>415</v>
      </c>
      <c r="H2789" s="567">
        <v>4131</v>
      </c>
      <c r="O2789"/>
    </row>
    <row r="2790" spans="1:15" x14ac:dyDescent="0.2">
      <c r="A2790" s="567">
        <v>2671</v>
      </c>
      <c r="B2790" s="568" t="s">
        <v>2922</v>
      </c>
      <c r="C2790" s="568" t="s">
        <v>2948</v>
      </c>
      <c r="D2790" s="567">
        <v>7700</v>
      </c>
      <c r="E2790" s="567">
        <v>93</v>
      </c>
      <c r="F2790" s="567">
        <v>14</v>
      </c>
      <c r="G2790" s="567">
        <v>415</v>
      </c>
      <c r="H2790" s="567">
        <v>4131</v>
      </c>
      <c r="O2790"/>
    </row>
    <row r="2791" spans="1:15" x14ac:dyDescent="0.2">
      <c r="A2791" s="567">
        <v>1211</v>
      </c>
      <c r="B2791" s="568" t="s">
        <v>1420</v>
      </c>
      <c r="C2791" s="568" t="s">
        <v>1419</v>
      </c>
      <c r="D2791" s="567">
        <v>3246</v>
      </c>
      <c r="E2791" s="567">
        <v>103</v>
      </c>
      <c r="F2791" s="567">
        <v>3</v>
      </c>
      <c r="G2791" s="567">
        <v>226</v>
      </c>
      <c r="H2791" s="567">
        <v>2130</v>
      </c>
      <c r="O2791"/>
    </row>
    <row r="2792" spans="1:15" x14ac:dyDescent="0.2">
      <c r="A2792" s="567">
        <v>1210</v>
      </c>
      <c r="B2792" s="568" t="s">
        <v>1420</v>
      </c>
      <c r="C2792" s="568" t="s">
        <v>400</v>
      </c>
      <c r="D2792" s="567">
        <v>3245</v>
      </c>
      <c r="E2792" s="567">
        <v>103</v>
      </c>
      <c r="F2792" s="567">
        <v>3</v>
      </c>
      <c r="G2792" s="567">
        <v>226</v>
      </c>
      <c r="H2792" s="567">
        <v>2130</v>
      </c>
      <c r="O2792"/>
    </row>
    <row r="2793" spans="1:15" x14ac:dyDescent="0.2">
      <c r="A2793" s="567">
        <v>1907</v>
      </c>
      <c r="B2793" s="568" t="s">
        <v>1944</v>
      </c>
      <c r="C2793" s="568" t="s">
        <v>1944</v>
      </c>
      <c r="D2793" s="567">
        <v>5365</v>
      </c>
      <c r="E2793" s="567">
        <v>94</v>
      </c>
      <c r="F2793" s="567">
        <v>6</v>
      </c>
      <c r="G2793" s="567">
        <v>315</v>
      </c>
      <c r="H2793" s="567">
        <v>3120</v>
      </c>
      <c r="O2793"/>
    </row>
    <row r="2794" spans="1:15" x14ac:dyDescent="0.2">
      <c r="A2794" s="567">
        <v>1906</v>
      </c>
      <c r="B2794" s="568" t="s">
        <v>1956</v>
      </c>
      <c r="C2794" s="568" t="s">
        <v>1956</v>
      </c>
      <c r="D2794" s="567">
        <v>5360</v>
      </c>
      <c r="E2794" s="567">
        <v>95</v>
      </c>
      <c r="F2794" s="567">
        <v>5</v>
      </c>
      <c r="G2794" s="567">
        <v>315</v>
      </c>
      <c r="H2794" s="567">
        <v>3120</v>
      </c>
      <c r="O2794"/>
    </row>
    <row r="2795" spans="1:15" x14ac:dyDescent="0.2">
      <c r="A2795" s="567">
        <v>2929</v>
      </c>
      <c r="B2795" s="568" t="s">
        <v>3194</v>
      </c>
      <c r="C2795" s="568" t="s">
        <v>3193</v>
      </c>
      <c r="D2795" s="567">
        <v>8411</v>
      </c>
      <c r="E2795" s="567">
        <v>138</v>
      </c>
      <c r="F2795" s="567">
        <v>12</v>
      </c>
      <c r="G2795" s="567">
        <v>425</v>
      </c>
      <c r="H2795" s="567">
        <v>4170</v>
      </c>
      <c r="O2795"/>
    </row>
    <row r="2796" spans="1:15" x14ac:dyDescent="0.2">
      <c r="A2796" s="567">
        <v>2930</v>
      </c>
      <c r="B2796" s="568" t="s">
        <v>3194</v>
      </c>
      <c r="C2796" s="568" t="s">
        <v>3195</v>
      </c>
      <c r="D2796" s="567">
        <v>8412</v>
      </c>
      <c r="E2796" s="567">
        <v>138</v>
      </c>
      <c r="F2796" s="567">
        <v>12</v>
      </c>
      <c r="G2796" s="567">
        <v>425</v>
      </c>
      <c r="H2796" s="567">
        <v>4170</v>
      </c>
      <c r="O2796"/>
    </row>
    <row r="2797" spans="1:15" x14ac:dyDescent="0.2">
      <c r="A2797" s="567">
        <v>2928</v>
      </c>
      <c r="B2797" s="568" t="s">
        <v>3194</v>
      </c>
      <c r="C2797" s="568" t="s">
        <v>3194</v>
      </c>
      <c r="D2797" s="567">
        <v>8410</v>
      </c>
      <c r="E2797" s="567">
        <v>138</v>
      </c>
      <c r="F2797" s="567">
        <v>12</v>
      </c>
      <c r="G2797" s="567">
        <v>425</v>
      </c>
      <c r="H2797" s="567">
        <v>4170</v>
      </c>
      <c r="O2797"/>
    </row>
    <row r="2798" spans="1:15" x14ac:dyDescent="0.2">
      <c r="A2798" s="567">
        <v>2621</v>
      </c>
      <c r="B2798" s="568" t="s">
        <v>2993</v>
      </c>
      <c r="C2798" s="568" t="s">
        <v>2992</v>
      </c>
      <c r="D2798" s="567">
        <v>7520</v>
      </c>
      <c r="E2798" s="567">
        <v>50</v>
      </c>
      <c r="F2798" s="567">
        <v>2</v>
      </c>
      <c r="G2798" s="567">
        <v>416</v>
      </c>
      <c r="H2798" s="567">
        <v>4140</v>
      </c>
      <c r="O2798"/>
    </row>
    <row r="2799" spans="1:15" x14ac:dyDescent="0.2">
      <c r="A2799" s="567">
        <v>2625</v>
      </c>
      <c r="B2799" s="568" t="s">
        <v>2993</v>
      </c>
      <c r="C2799" s="568" t="s">
        <v>3002</v>
      </c>
      <c r="D2799" s="567">
        <v>7524</v>
      </c>
      <c r="E2799" s="567">
        <v>50</v>
      </c>
      <c r="F2799" s="567">
        <v>2</v>
      </c>
      <c r="G2799" s="567">
        <v>416</v>
      </c>
      <c r="H2799" s="567">
        <v>4140</v>
      </c>
      <c r="O2799"/>
    </row>
    <row r="2800" spans="1:15" x14ac:dyDescent="0.2">
      <c r="A2800" s="567">
        <v>2624</v>
      </c>
      <c r="B2800" s="568" t="s">
        <v>2993</v>
      </c>
      <c r="C2800" s="568" t="s">
        <v>3003</v>
      </c>
      <c r="D2800" s="567">
        <v>7523</v>
      </c>
      <c r="E2800" s="567">
        <v>50</v>
      </c>
      <c r="F2800" s="567">
        <v>2</v>
      </c>
      <c r="G2800" s="567">
        <v>416</v>
      </c>
      <c r="H2800" s="567">
        <v>4140</v>
      </c>
      <c r="O2800"/>
    </row>
    <row r="2801" spans="1:15" x14ac:dyDescent="0.2">
      <c r="A2801" s="567">
        <v>2622</v>
      </c>
      <c r="B2801" s="568" t="s">
        <v>2993</v>
      </c>
      <c r="C2801" s="568" t="s">
        <v>3004</v>
      </c>
      <c r="D2801" s="567">
        <v>7521</v>
      </c>
      <c r="E2801" s="567">
        <v>50</v>
      </c>
      <c r="F2801" s="567">
        <v>2</v>
      </c>
      <c r="G2801" s="567">
        <v>416</v>
      </c>
      <c r="H2801" s="567">
        <v>4140</v>
      </c>
      <c r="O2801"/>
    </row>
    <row r="2802" spans="1:15" x14ac:dyDescent="0.2">
      <c r="A2802" s="567">
        <v>2623</v>
      </c>
      <c r="B2802" s="568" t="s">
        <v>2993</v>
      </c>
      <c r="C2802" s="568" t="s">
        <v>3018</v>
      </c>
      <c r="D2802" s="567">
        <v>7522</v>
      </c>
      <c r="E2802" s="567">
        <v>50</v>
      </c>
      <c r="F2802" s="567">
        <v>2</v>
      </c>
      <c r="G2802" s="567">
        <v>416</v>
      </c>
      <c r="H2802" s="567">
        <v>4140</v>
      </c>
      <c r="O2802"/>
    </row>
    <row r="2803" spans="1:15" x14ac:dyDescent="0.2">
      <c r="A2803" s="567">
        <v>1964</v>
      </c>
      <c r="B2803" s="568" t="s">
        <v>1986</v>
      </c>
      <c r="C2803" s="568" t="s">
        <v>1985</v>
      </c>
      <c r="D2803" s="567">
        <v>5570</v>
      </c>
      <c r="E2803" s="567">
        <v>108</v>
      </c>
      <c r="F2803" s="567">
        <v>3</v>
      </c>
      <c r="G2803" s="567">
        <v>315</v>
      </c>
      <c r="H2803" s="567">
        <v>3120</v>
      </c>
      <c r="O2803"/>
    </row>
    <row r="2804" spans="1:15" x14ac:dyDescent="0.2">
      <c r="A2804" s="567">
        <v>1965</v>
      </c>
      <c r="B2804" s="568" t="s">
        <v>1986</v>
      </c>
      <c r="C2804" s="568" t="s">
        <v>1987</v>
      </c>
      <c r="D2804" s="567">
        <v>5571</v>
      </c>
      <c r="E2804" s="567">
        <v>108</v>
      </c>
      <c r="F2804" s="567">
        <v>3</v>
      </c>
      <c r="G2804" s="567">
        <v>315</v>
      </c>
      <c r="H2804" s="567">
        <v>3120</v>
      </c>
      <c r="O2804"/>
    </row>
    <row r="2805" spans="1:15" x14ac:dyDescent="0.2">
      <c r="A2805" s="567">
        <v>1966</v>
      </c>
      <c r="B2805" s="568" t="s">
        <v>1986</v>
      </c>
      <c r="C2805" s="568" t="s">
        <v>1988</v>
      </c>
      <c r="D2805" s="567">
        <v>5572</v>
      </c>
      <c r="E2805" s="567">
        <v>108</v>
      </c>
      <c r="F2805" s="567">
        <v>3</v>
      </c>
      <c r="G2805" s="567">
        <v>315</v>
      </c>
      <c r="H2805" s="567">
        <v>3120</v>
      </c>
      <c r="O2805"/>
    </row>
    <row r="2806" spans="1:15" x14ac:dyDescent="0.2">
      <c r="A2806" s="567">
        <v>1920</v>
      </c>
      <c r="B2806" s="568" t="s">
        <v>1888</v>
      </c>
      <c r="C2806" s="568" t="s">
        <v>1887</v>
      </c>
      <c r="D2806" s="567">
        <v>5422</v>
      </c>
      <c r="E2806" s="567">
        <v>109</v>
      </c>
      <c r="F2806" s="567">
        <v>5</v>
      </c>
      <c r="G2806" s="567">
        <v>315</v>
      </c>
      <c r="H2806" s="567">
        <v>3120</v>
      </c>
      <c r="O2806"/>
    </row>
    <row r="2807" spans="1:15" x14ac:dyDescent="0.2">
      <c r="A2807" s="567">
        <v>1919</v>
      </c>
      <c r="B2807" s="568" t="s">
        <v>1888</v>
      </c>
      <c r="C2807" s="568" t="s">
        <v>1889</v>
      </c>
      <c r="D2807" s="567">
        <v>5421</v>
      </c>
      <c r="E2807" s="567">
        <v>109</v>
      </c>
      <c r="F2807" s="567">
        <v>5</v>
      </c>
      <c r="G2807" s="567">
        <v>315</v>
      </c>
      <c r="H2807" s="567">
        <v>3120</v>
      </c>
      <c r="O2807"/>
    </row>
    <row r="2808" spans="1:15" x14ac:dyDescent="0.2">
      <c r="A2808" s="567">
        <v>1918</v>
      </c>
      <c r="B2808" s="568" t="s">
        <v>1888</v>
      </c>
      <c r="C2808" s="568" t="s">
        <v>1888</v>
      </c>
      <c r="D2808" s="567">
        <v>5420</v>
      </c>
      <c r="E2808" s="567">
        <v>109</v>
      </c>
      <c r="F2808" s="567">
        <v>5</v>
      </c>
      <c r="G2808" s="567">
        <v>315</v>
      </c>
      <c r="H2808" s="567">
        <v>3120</v>
      </c>
      <c r="O2808"/>
    </row>
    <row r="2809" spans="1:15" x14ac:dyDescent="0.2">
      <c r="A2809" s="567">
        <v>1800</v>
      </c>
      <c r="B2809" s="568" t="s">
        <v>165</v>
      </c>
      <c r="C2809" s="568" t="s">
        <v>165</v>
      </c>
      <c r="D2809" s="567">
        <v>4955</v>
      </c>
      <c r="E2809" s="567">
        <v>129</v>
      </c>
      <c r="F2809" s="567">
        <v>5</v>
      </c>
      <c r="G2809" s="567">
        <v>317</v>
      </c>
      <c r="H2809" s="567">
        <v>3140</v>
      </c>
      <c r="O2809"/>
    </row>
    <row r="2810" spans="1:15" x14ac:dyDescent="0.2">
      <c r="A2810" s="567">
        <v>1801</v>
      </c>
      <c r="B2810" s="568" t="s">
        <v>165</v>
      </c>
      <c r="C2810" s="568" t="s">
        <v>2158</v>
      </c>
      <c r="D2810" s="567">
        <v>4956</v>
      </c>
      <c r="E2810" s="567">
        <v>129</v>
      </c>
      <c r="F2810" s="567">
        <v>5</v>
      </c>
      <c r="G2810" s="567">
        <v>317</v>
      </c>
      <c r="H2810" s="567">
        <v>3140</v>
      </c>
      <c r="O2810"/>
    </row>
    <row r="2811" spans="1:15" x14ac:dyDescent="0.2">
      <c r="A2811" s="567">
        <v>2539</v>
      </c>
      <c r="B2811" s="568" t="s">
        <v>2012</v>
      </c>
      <c r="C2811" s="568" t="s">
        <v>2011</v>
      </c>
      <c r="D2811" s="567">
        <v>7286</v>
      </c>
      <c r="E2811" s="567">
        <v>84</v>
      </c>
      <c r="F2811" s="567">
        <v>5</v>
      </c>
      <c r="G2811" s="567">
        <v>336</v>
      </c>
      <c r="H2811" s="567">
        <v>3130</v>
      </c>
      <c r="O2811"/>
    </row>
    <row r="2812" spans="1:15" x14ac:dyDescent="0.2">
      <c r="A2812" s="567">
        <v>2538</v>
      </c>
      <c r="B2812" s="568" t="s">
        <v>2012</v>
      </c>
      <c r="C2812" s="568" t="s">
        <v>2021</v>
      </c>
      <c r="D2812" s="567">
        <v>7285</v>
      </c>
      <c r="E2812" s="567">
        <v>84</v>
      </c>
      <c r="F2812" s="567">
        <v>5</v>
      </c>
      <c r="G2812" s="567">
        <v>336</v>
      </c>
      <c r="H2812" s="567">
        <v>3130</v>
      </c>
      <c r="O2812"/>
    </row>
    <row r="2813" spans="1:15" x14ac:dyDescent="0.2">
      <c r="A2813" s="567">
        <v>2537</v>
      </c>
      <c r="B2813" s="568" t="s">
        <v>2012</v>
      </c>
      <c r="C2813" s="568" t="s">
        <v>2022</v>
      </c>
      <c r="D2813" s="567">
        <v>7284</v>
      </c>
      <c r="E2813" s="567">
        <v>84</v>
      </c>
      <c r="F2813" s="567">
        <v>5</v>
      </c>
      <c r="G2813" s="567">
        <v>336</v>
      </c>
      <c r="H2813" s="567">
        <v>3130</v>
      </c>
      <c r="O2813"/>
    </row>
    <row r="2814" spans="1:15" x14ac:dyDescent="0.2">
      <c r="A2814" s="567">
        <v>2536</v>
      </c>
      <c r="B2814" s="568" t="s">
        <v>2012</v>
      </c>
      <c r="C2814" s="568" t="s">
        <v>2023</v>
      </c>
      <c r="D2814" s="567">
        <v>7283</v>
      </c>
      <c r="E2814" s="567">
        <v>84</v>
      </c>
      <c r="F2814" s="567">
        <v>5</v>
      </c>
      <c r="G2814" s="567">
        <v>336</v>
      </c>
      <c r="H2814" s="567">
        <v>3130</v>
      </c>
      <c r="O2814"/>
    </row>
    <row r="2815" spans="1:15" x14ac:dyDescent="0.2">
      <c r="A2815" s="567">
        <v>2535</v>
      </c>
      <c r="B2815" s="568" t="s">
        <v>2012</v>
      </c>
      <c r="C2815" s="568" t="s">
        <v>2024</v>
      </c>
      <c r="D2815" s="567">
        <v>7282</v>
      </c>
      <c r="E2815" s="567">
        <v>84</v>
      </c>
      <c r="F2815" s="567">
        <v>5</v>
      </c>
      <c r="G2815" s="567">
        <v>336</v>
      </c>
      <c r="H2815" s="567">
        <v>3130</v>
      </c>
      <c r="O2815"/>
    </row>
    <row r="2816" spans="1:15" x14ac:dyDescent="0.2">
      <c r="A2816" s="567">
        <v>2534</v>
      </c>
      <c r="B2816" s="568" t="s">
        <v>2012</v>
      </c>
      <c r="C2816" s="568" t="s">
        <v>2025</v>
      </c>
      <c r="D2816" s="567">
        <v>7281</v>
      </c>
      <c r="E2816" s="567">
        <v>84</v>
      </c>
      <c r="F2816" s="567">
        <v>5</v>
      </c>
      <c r="G2816" s="567">
        <v>336</v>
      </c>
      <c r="H2816" s="567">
        <v>3130</v>
      </c>
      <c r="O2816"/>
    </row>
    <row r="2817" spans="1:15" x14ac:dyDescent="0.2">
      <c r="A2817" s="567">
        <v>2533</v>
      </c>
      <c r="B2817" s="568" t="s">
        <v>2012</v>
      </c>
      <c r="C2817" s="568" t="s">
        <v>2012</v>
      </c>
      <c r="D2817" s="567">
        <v>7280</v>
      </c>
      <c r="E2817" s="567">
        <v>84</v>
      </c>
      <c r="F2817" s="567">
        <v>5</v>
      </c>
      <c r="G2817" s="567">
        <v>336</v>
      </c>
      <c r="H2817" s="567">
        <v>3130</v>
      </c>
      <c r="O2817"/>
    </row>
    <row r="2818" spans="1:15" x14ac:dyDescent="0.2">
      <c r="A2818" s="567">
        <v>708</v>
      </c>
      <c r="B2818" s="568" t="s">
        <v>691</v>
      </c>
      <c r="C2818" s="568" t="s">
        <v>691</v>
      </c>
      <c r="D2818" s="567">
        <v>1590</v>
      </c>
      <c r="E2818" s="567">
        <v>46</v>
      </c>
      <c r="F2818" s="567">
        <v>2</v>
      </c>
      <c r="G2818" s="567">
        <v>115</v>
      </c>
      <c r="H2818" s="567">
        <v>1161</v>
      </c>
      <c r="O2818"/>
    </row>
    <row r="2819" spans="1:15" x14ac:dyDescent="0.2">
      <c r="A2819" s="567">
        <v>3077</v>
      </c>
      <c r="B2819" s="568" t="s">
        <v>2743</v>
      </c>
      <c r="C2819" s="568" t="s">
        <v>2742</v>
      </c>
      <c r="D2819" s="567">
        <v>8890</v>
      </c>
      <c r="E2819" s="567">
        <v>113</v>
      </c>
      <c r="F2819" s="567">
        <v>11</v>
      </c>
      <c r="G2819" s="567">
        <v>426</v>
      </c>
      <c r="H2819" s="567">
        <v>4110</v>
      </c>
      <c r="O2819"/>
    </row>
    <row r="2820" spans="1:15" x14ac:dyDescent="0.2">
      <c r="A2820" s="567">
        <v>3078</v>
      </c>
      <c r="B2820" s="568" t="s">
        <v>2743</v>
      </c>
      <c r="C2820" s="568" t="s">
        <v>2744</v>
      </c>
      <c r="D2820" s="567">
        <v>8891</v>
      </c>
      <c r="E2820" s="567">
        <v>113</v>
      </c>
      <c r="F2820" s="567">
        <v>11</v>
      </c>
      <c r="G2820" s="567">
        <v>426</v>
      </c>
      <c r="H2820" s="567">
        <v>4110</v>
      </c>
      <c r="O2820"/>
    </row>
    <row r="2821" spans="1:15" x14ac:dyDescent="0.2">
      <c r="A2821" s="567">
        <v>3079</v>
      </c>
      <c r="B2821" s="568" t="s">
        <v>2743</v>
      </c>
      <c r="C2821" s="568" t="s">
        <v>2745</v>
      </c>
      <c r="D2821" s="567">
        <v>8892</v>
      </c>
      <c r="E2821" s="567">
        <v>113</v>
      </c>
      <c r="F2821" s="567">
        <v>11</v>
      </c>
      <c r="G2821" s="567">
        <v>426</v>
      </c>
      <c r="H2821" s="567">
        <v>4110</v>
      </c>
      <c r="O2821"/>
    </row>
    <row r="2822" spans="1:15" x14ac:dyDescent="0.2">
      <c r="A2822" s="567">
        <v>989</v>
      </c>
      <c r="B2822" s="568" t="s">
        <v>508</v>
      </c>
      <c r="C2822" s="568" t="s">
        <v>507</v>
      </c>
      <c r="D2822" s="567">
        <v>2570</v>
      </c>
      <c r="E2822" s="567">
        <v>32</v>
      </c>
      <c r="F2822" s="567">
        <v>14</v>
      </c>
      <c r="G2822" s="567">
        <v>135</v>
      </c>
      <c r="H2822" s="567">
        <v>1140</v>
      </c>
      <c r="O2822"/>
    </row>
    <row r="2823" spans="1:15" x14ac:dyDescent="0.2">
      <c r="A2823" s="567">
        <v>990</v>
      </c>
      <c r="B2823" s="568" t="s">
        <v>508</v>
      </c>
      <c r="C2823" s="568" t="s">
        <v>510</v>
      </c>
      <c r="D2823" s="567">
        <v>2571</v>
      </c>
      <c r="E2823" s="567">
        <v>32</v>
      </c>
      <c r="F2823" s="567">
        <v>14</v>
      </c>
      <c r="G2823" s="567">
        <v>135</v>
      </c>
      <c r="H2823" s="567">
        <v>1140</v>
      </c>
      <c r="O2823"/>
    </row>
    <row r="2824" spans="1:15" x14ac:dyDescent="0.2">
      <c r="A2824" s="567">
        <v>509</v>
      </c>
      <c r="B2824" s="568" t="s">
        <v>792</v>
      </c>
      <c r="C2824" s="568" t="s">
        <v>791</v>
      </c>
      <c r="D2824" s="567">
        <v>1017</v>
      </c>
      <c r="E2824" s="567">
        <v>70</v>
      </c>
      <c r="F2824" s="567">
        <v>1</v>
      </c>
      <c r="G2824" s="567">
        <v>118</v>
      </c>
      <c r="H2824" s="567">
        <v>1170</v>
      </c>
      <c r="O2824"/>
    </row>
    <row r="2825" spans="1:15" x14ac:dyDescent="0.2">
      <c r="A2825" s="567">
        <v>508</v>
      </c>
      <c r="B2825" s="568" t="s">
        <v>792</v>
      </c>
      <c r="C2825" s="568" t="s">
        <v>793</v>
      </c>
      <c r="D2825" s="567">
        <v>1016</v>
      </c>
      <c r="E2825" s="567">
        <v>70</v>
      </c>
      <c r="F2825" s="567">
        <v>1</v>
      </c>
      <c r="G2825" s="567">
        <v>118</v>
      </c>
      <c r="H2825" s="567">
        <v>1170</v>
      </c>
      <c r="O2825"/>
    </row>
    <row r="2826" spans="1:15" x14ac:dyDescent="0.2">
      <c r="A2826" s="567">
        <v>507</v>
      </c>
      <c r="B2826" s="568" t="s">
        <v>792</v>
      </c>
      <c r="C2826" s="568" t="s">
        <v>507</v>
      </c>
      <c r="D2826" s="567">
        <v>1015</v>
      </c>
      <c r="E2826" s="567">
        <v>70</v>
      </c>
      <c r="F2826" s="567">
        <v>1</v>
      </c>
      <c r="G2826" s="567">
        <v>118</v>
      </c>
      <c r="H2826" s="567">
        <v>1170</v>
      </c>
      <c r="O2826"/>
    </row>
    <row r="2827" spans="1:15" x14ac:dyDescent="0.2">
      <c r="A2827" s="567">
        <v>1344</v>
      </c>
      <c r="B2827" s="568" t="s">
        <v>1152</v>
      </c>
      <c r="C2827" s="568" t="s">
        <v>1152</v>
      </c>
      <c r="D2827" s="567">
        <v>3665</v>
      </c>
      <c r="E2827" s="567">
        <v>52</v>
      </c>
      <c r="F2827" s="567">
        <v>3</v>
      </c>
      <c r="G2827" s="567">
        <v>216</v>
      </c>
      <c r="H2827" s="567">
        <v>2100</v>
      </c>
      <c r="O2827"/>
    </row>
    <row r="2828" spans="1:15" x14ac:dyDescent="0.2">
      <c r="A2828" s="567">
        <v>2291</v>
      </c>
      <c r="B2828" s="568" t="s">
        <v>2333</v>
      </c>
      <c r="C2828" s="568" t="s">
        <v>2333</v>
      </c>
      <c r="D2828" s="567">
        <v>6615</v>
      </c>
      <c r="E2828" s="567">
        <v>77</v>
      </c>
      <c r="F2828" s="567">
        <v>4</v>
      </c>
      <c r="G2828" s="567">
        <v>335</v>
      </c>
      <c r="H2828" s="567">
        <v>3151</v>
      </c>
      <c r="O2828"/>
    </row>
    <row r="2829" spans="1:15" x14ac:dyDescent="0.2">
      <c r="A2829" s="567">
        <v>2292</v>
      </c>
      <c r="B2829" s="568" t="s">
        <v>2333</v>
      </c>
      <c r="C2829" s="568" t="s">
        <v>2346</v>
      </c>
      <c r="D2829" s="567">
        <v>6616</v>
      </c>
      <c r="E2829" s="567">
        <v>77</v>
      </c>
      <c r="F2829" s="567">
        <v>4</v>
      </c>
      <c r="G2829" s="567">
        <v>335</v>
      </c>
      <c r="H2829" s="567">
        <v>3151</v>
      </c>
      <c r="O2829"/>
    </row>
    <row r="2830" spans="1:15" x14ac:dyDescent="0.2">
      <c r="A2830" s="567">
        <v>1416</v>
      </c>
      <c r="B2830" s="568" t="s">
        <v>1632</v>
      </c>
      <c r="C2830" s="568" t="s">
        <v>1632</v>
      </c>
      <c r="D2830" s="567">
        <v>3860</v>
      </c>
      <c r="E2830" s="567">
        <v>61</v>
      </c>
      <c r="F2830" s="567">
        <v>2</v>
      </c>
      <c r="G2830" s="567">
        <v>236</v>
      </c>
      <c r="H2830" s="567">
        <v>2150</v>
      </c>
      <c r="O2830"/>
    </row>
    <row r="2831" spans="1:15" x14ac:dyDescent="0.2">
      <c r="A2831" s="567">
        <v>1417</v>
      </c>
      <c r="B2831" s="568" t="s">
        <v>1632</v>
      </c>
      <c r="C2831" s="568" t="s">
        <v>1633</v>
      </c>
      <c r="D2831" s="567">
        <v>3861</v>
      </c>
      <c r="E2831" s="567">
        <v>61</v>
      </c>
      <c r="F2831" s="567">
        <v>2</v>
      </c>
      <c r="G2831" s="567">
        <v>236</v>
      </c>
      <c r="H2831" s="567">
        <v>2150</v>
      </c>
      <c r="O2831"/>
    </row>
    <row r="2832" spans="1:15" x14ac:dyDescent="0.2">
      <c r="A2832" s="567">
        <v>3369</v>
      </c>
      <c r="B2832" s="568" t="s">
        <v>187</v>
      </c>
      <c r="C2832" s="568" t="s">
        <v>187</v>
      </c>
      <c r="D2832" s="567">
        <v>9860</v>
      </c>
      <c r="E2832" s="567">
        <v>54</v>
      </c>
      <c r="F2832" s="567">
        <v>4</v>
      </c>
      <c r="G2832" s="567">
        <v>435</v>
      </c>
      <c r="H2832" s="567">
        <v>4160</v>
      </c>
      <c r="O2832"/>
    </row>
    <row r="2833" spans="1:15" x14ac:dyDescent="0.2">
      <c r="A2833" s="567">
        <v>3113</v>
      </c>
      <c r="B2833" s="568" t="s">
        <v>3092</v>
      </c>
      <c r="C2833" s="568" t="s">
        <v>3091</v>
      </c>
      <c r="D2833" s="567">
        <v>9013</v>
      </c>
      <c r="E2833" s="567">
        <v>107</v>
      </c>
      <c r="F2833" s="567">
        <v>15</v>
      </c>
      <c r="G2833" s="567">
        <v>437</v>
      </c>
      <c r="H2833" s="567">
        <v>4151</v>
      </c>
      <c r="O2833"/>
    </row>
    <row r="2834" spans="1:15" x14ac:dyDescent="0.2">
      <c r="A2834" s="567">
        <v>3112</v>
      </c>
      <c r="B2834" s="568" t="s">
        <v>3092</v>
      </c>
      <c r="C2834" s="568" t="s">
        <v>3093</v>
      </c>
      <c r="D2834" s="567">
        <v>9012</v>
      </c>
      <c r="E2834" s="567">
        <v>107</v>
      </c>
      <c r="F2834" s="567">
        <v>15</v>
      </c>
      <c r="G2834" s="567">
        <v>437</v>
      </c>
      <c r="H2834" s="567">
        <v>4151</v>
      </c>
      <c r="O2834"/>
    </row>
    <row r="2835" spans="1:15" x14ac:dyDescent="0.2">
      <c r="A2835" s="567">
        <v>3111</v>
      </c>
      <c r="B2835" s="568" t="s">
        <v>3092</v>
      </c>
      <c r="C2835" s="568" t="s">
        <v>3094</v>
      </c>
      <c r="D2835" s="567">
        <v>9011</v>
      </c>
      <c r="E2835" s="567">
        <v>107</v>
      </c>
      <c r="F2835" s="567">
        <v>15</v>
      </c>
      <c r="G2835" s="567">
        <v>437</v>
      </c>
      <c r="H2835" s="567">
        <v>4151</v>
      </c>
      <c r="O2835"/>
    </row>
    <row r="2836" spans="1:15" x14ac:dyDescent="0.2">
      <c r="A2836" s="567">
        <v>3110</v>
      </c>
      <c r="B2836" s="568" t="s">
        <v>3092</v>
      </c>
      <c r="C2836" s="568" t="s">
        <v>187</v>
      </c>
      <c r="D2836" s="567">
        <v>9010</v>
      </c>
      <c r="E2836" s="567">
        <v>107</v>
      </c>
      <c r="F2836" s="567">
        <v>15</v>
      </c>
      <c r="G2836" s="567">
        <v>437</v>
      </c>
      <c r="H2836" s="567">
        <v>4151</v>
      </c>
      <c r="O2836"/>
    </row>
    <row r="2837" spans="1:15" x14ac:dyDescent="0.2">
      <c r="A2837" s="567">
        <v>304</v>
      </c>
      <c r="B2837" s="568" t="s">
        <v>989</v>
      </c>
      <c r="C2837" s="568" t="s">
        <v>988</v>
      </c>
      <c r="D2837" s="567">
        <v>506</v>
      </c>
      <c r="E2837" s="567">
        <v>104</v>
      </c>
      <c r="F2837" s="567">
        <v>19</v>
      </c>
      <c r="G2837" s="567">
        <v>127</v>
      </c>
      <c r="H2837" s="567">
        <v>1200</v>
      </c>
      <c r="O2837"/>
    </row>
    <row r="2838" spans="1:15" x14ac:dyDescent="0.2">
      <c r="A2838" s="567">
        <v>303</v>
      </c>
      <c r="B2838" s="568" t="s">
        <v>989</v>
      </c>
      <c r="C2838" s="568" t="s">
        <v>989</v>
      </c>
      <c r="D2838" s="567">
        <v>505</v>
      </c>
      <c r="E2838" s="567">
        <v>104</v>
      </c>
      <c r="F2838" s="567">
        <v>19</v>
      </c>
      <c r="G2838" s="567">
        <v>127</v>
      </c>
      <c r="H2838" s="567">
        <v>1200</v>
      </c>
      <c r="O2838"/>
    </row>
    <row r="2839" spans="1:15" x14ac:dyDescent="0.2">
      <c r="A2839" s="567">
        <v>305</v>
      </c>
      <c r="B2839" s="568" t="s">
        <v>989</v>
      </c>
      <c r="C2839" s="568" t="s">
        <v>994</v>
      </c>
      <c r="D2839" s="567">
        <v>507</v>
      </c>
      <c r="E2839" s="567">
        <v>104</v>
      </c>
      <c r="F2839" s="567">
        <v>19</v>
      </c>
      <c r="G2839" s="567">
        <v>127</v>
      </c>
      <c r="H2839" s="567">
        <v>1200</v>
      </c>
      <c r="O2839"/>
    </row>
    <row r="2840" spans="1:15" x14ac:dyDescent="0.2">
      <c r="A2840" s="567">
        <v>2253</v>
      </c>
      <c r="B2840" s="568" t="s">
        <v>2300</v>
      </c>
      <c r="C2840" s="568" t="s">
        <v>2299</v>
      </c>
      <c r="D2840" s="567">
        <v>6499</v>
      </c>
      <c r="E2840" s="567">
        <v>79</v>
      </c>
      <c r="F2840" s="567">
        <v>11</v>
      </c>
      <c r="G2840" s="567">
        <v>335</v>
      </c>
      <c r="H2840" s="567">
        <v>3151</v>
      </c>
      <c r="O2840"/>
    </row>
    <row r="2841" spans="1:15" x14ac:dyDescent="0.2">
      <c r="A2841" s="567">
        <v>2244</v>
      </c>
      <c r="B2841" s="568" t="s">
        <v>2300</v>
      </c>
      <c r="C2841" s="568" t="s">
        <v>2300</v>
      </c>
      <c r="D2841" s="567">
        <v>6490</v>
      </c>
      <c r="E2841" s="567">
        <v>79</v>
      </c>
      <c r="F2841" s="567">
        <v>11</v>
      </c>
      <c r="G2841" s="567">
        <v>335</v>
      </c>
      <c r="H2841" s="567">
        <v>3151</v>
      </c>
      <c r="O2841"/>
    </row>
    <row r="2842" spans="1:15" x14ac:dyDescent="0.2">
      <c r="A2842" s="567">
        <v>2245</v>
      </c>
      <c r="B2842" s="568" t="s">
        <v>2300</v>
      </c>
      <c r="C2842" s="568" t="s">
        <v>2303</v>
      </c>
      <c r="D2842" s="567">
        <v>6491</v>
      </c>
      <c r="E2842" s="567">
        <v>79</v>
      </c>
      <c r="F2842" s="567">
        <v>11</v>
      </c>
      <c r="G2842" s="567">
        <v>335</v>
      </c>
      <c r="H2842" s="567">
        <v>3151</v>
      </c>
      <c r="O2842"/>
    </row>
    <row r="2843" spans="1:15" x14ac:dyDescent="0.2">
      <c r="A2843" s="567">
        <v>2246</v>
      </c>
      <c r="B2843" s="568" t="s">
        <v>2300</v>
      </c>
      <c r="C2843" s="568" t="s">
        <v>2304</v>
      </c>
      <c r="D2843" s="567">
        <v>6492</v>
      </c>
      <c r="E2843" s="567">
        <v>79</v>
      </c>
      <c r="F2843" s="567">
        <v>11</v>
      </c>
      <c r="G2843" s="567">
        <v>335</v>
      </c>
      <c r="H2843" s="567">
        <v>3151</v>
      </c>
      <c r="O2843"/>
    </row>
    <row r="2844" spans="1:15" x14ac:dyDescent="0.2">
      <c r="A2844" s="567">
        <v>2247</v>
      </c>
      <c r="B2844" s="568" t="s">
        <v>2300</v>
      </c>
      <c r="C2844" s="568" t="s">
        <v>2305</v>
      </c>
      <c r="D2844" s="567">
        <v>6493</v>
      </c>
      <c r="E2844" s="567">
        <v>79</v>
      </c>
      <c r="F2844" s="567">
        <v>11</v>
      </c>
      <c r="G2844" s="567">
        <v>335</v>
      </c>
      <c r="H2844" s="567">
        <v>3151</v>
      </c>
      <c r="O2844"/>
    </row>
    <row r="2845" spans="1:15" x14ac:dyDescent="0.2">
      <c r="A2845" s="567">
        <v>2248</v>
      </c>
      <c r="B2845" s="568" t="s">
        <v>2300</v>
      </c>
      <c r="C2845" s="568" t="s">
        <v>2306</v>
      </c>
      <c r="D2845" s="567">
        <v>6494</v>
      </c>
      <c r="E2845" s="567">
        <v>79</v>
      </c>
      <c r="F2845" s="567">
        <v>11</v>
      </c>
      <c r="G2845" s="567">
        <v>335</v>
      </c>
      <c r="H2845" s="567">
        <v>3151</v>
      </c>
      <c r="O2845"/>
    </row>
    <row r="2846" spans="1:15" x14ac:dyDescent="0.2">
      <c r="A2846" s="567">
        <v>2249</v>
      </c>
      <c r="B2846" s="568" t="s">
        <v>2300</v>
      </c>
      <c r="C2846" s="568" t="s">
        <v>2307</v>
      </c>
      <c r="D2846" s="567">
        <v>6495</v>
      </c>
      <c r="E2846" s="567">
        <v>79</v>
      </c>
      <c r="F2846" s="567">
        <v>11</v>
      </c>
      <c r="G2846" s="567">
        <v>335</v>
      </c>
      <c r="H2846" s="567">
        <v>3151</v>
      </c>
      <c r="O2846"/>
    </row>
    <row r="2847" spans="1:15" x14ac:dyDescent="0.2">
      <c r="A2847" s="567">
        <v>2250</v>
      </c>
      <c r="B2847" s="568" t="s">
        <v>2300</v>
      </c>
      <c r="C2847" s="568" t="s">
        <v>2308</v>
      </c>
      <c r="D2847" s="567">
        <v>6496</v>
      </c>
      <c r="E2847" s="567">
        <v>79</v>
      </c>
      <c r="F2847" s="567">
        <v>11</v>
      </c>
      <c r="G2847" s="567">
        <v>335</v>
      </c>
      <c r="H2847" s="567">
        <v>3151</v>
      </c>
      <c r="O2847"/>
    </row>
    <row r="2848" spans="1:15" x14ac:dyDescent="0.2">
      <c r="A2848" s="567">
        <v>2251</v>
      </c>
      <c r="B2848" s="568" t="s">
        <v>2300</v>
      </c>
      <c r="C2848" s="568" t="s">
        <v>2309</v>
      </c>
      <c r="D2848" s="567">
        <v>6497</v>
      </c>
      <c r="E2848" s="567">
        <v>79</v>
      </c>
      <c r="F2848" s="567">
        <v>11</v>
      </c>
      <c r="G2848" s="567">
        <v>335</v>
      </c>
      <c r="H2848" s="567">
        <v>3151</v>
      </c>
      <c r="O2848"/>
    </row>
    <row r="2849" spans="1:15" x14ac:dyDescent="0.2">
      <c r="A2849" s="567">
        <v>2252</v>
      </c>
      <c r="B2849" s="568" t="s">
        <v>2300</v>
      </c>
      <c r="C2849" s="568" t="s">
        <v>2310</v>
      </c>
      <c r="D2849" s="567">
        <v>6498</v>
      </c>
      <c r="E2849" s="567">
        <v>79</v>
      </c>
      <c r="F2849" s="567">
        <v>11</v>
      </c>
      <c r="G2849" s="567">
        <v>335</v>
      </c>
      <c r="H2849" s="567">
        <v>3151</v>
      </c>
      <c r="O2849"/>
    </row>
    <row r="2850" spans="1:15" x14ac:dyDescent="0.2">
      <c r="A2850" s="567">
        <v>874</v>
      </c>
      <c r="B2850" s="568" t="s">
        <v>79</v>
      </c>
      <c r="C2850" s="568" t="s">
        <v>79</v>
      </c>
      <c r="D2850" s="567">
        <v>2220</v>
      </c>
      <c r="E2850" s="567">
        <v>68</v>
      </c>
      <c r="F2850" s="567">
        <v>19</v>
      </c>
      <c r="G2850" s="567">
        <v>136</v>
      </c>
      <c r="H2850" s="567">
        <v>1101</v>
      </c>
      <c r="O2850"/>
    </row>
    <row r="2851" spans="1:15" x14ac:dyDescent="0.2">
      <c r="A2851" s="567">
        <v>2821</v>
      </c>
      <c r="B2851" s="568" t="s">
        <v>2634</v>
      </c>
      <c r="C2851" s="568" t="s">
        <v>2634</v>
      </c>
      <c r="D2851" s="567">
        <v>8100</v>
      </c>
      <c r="E2851" s="567">
        <v>63</v>
      </c>
      <c r="F2851" s="567">
        <v>14</v>
      </c>
      <c r="G2851" s="567">
        <v>417</v>
      </c>
      <c r="H2851" s="567">
        <v>4100</v>
      </c>
      <c r="O2851"/>
    </row>
    <row r="2852" spans="1:15" x14ac:dyDescent="0.2">
      <c r="A2852" s="567">
        <v>2822</v>
      </c>
      <c r="B2852" s="568" t="s">
        <v>2634</v>
      </c>
      <c r="C2852" s="568" t="s">
        <v>2635</v>
      </c>
      <c r="D2852" s="567">
        <v>8101</v>
      </c>
      <c r="E2852" s="567">
        <v>63</v>
      </c>
      <c r="F2852" s="567">
        <v>14</v>
      </c>
      <c r="G2852" s="567">
        <v>417</v>
      </c>
      <c r="H2852" s="567">
        <v>4100</v>
      </c>
      <c r="O2852"/>
    </row>
    <row r="2853" spans="1:15" x14ac:dyDescent="0.2">
      <c r="A2853" s="567">
        <v>1460</v>
      </c>
      <c r="B2853" s="568" t="s">
        <v>1600</v>
      </c>
      <c r="C2853" s="568" t="s">
        <v>1599</v>
      </c>
      <c r="D2853" s="567">
        <v>4020</v>
      </c>
      <c r="E2853" s="567">
        <v>72</v>
      </c>
      <c r="F2853" s="567">
        <v>17</v>
      </c>
      <c r="G2853" s="567">
        <v>236</v>
      </c>
      <c r="H2853" s="567">
        <v>2150</v>
      </c>
      <c r="O2853"/>
    </row>
    <row r="2854" spans="1:15" x14ac:dyDescent="0.2">
      <c r="A2854" s="567">
        <v>1461</v>
      </c>
      <c r="B2854" s="568" t="s">
        <v>1600</v>
      </c>
      <c r="C2854" s="568" t="s">
        <v>1601</v>
      </c>
      <c r="D2854" s="567">
        <v>4021</v>
      </c>
      <c r="E2854" s="567">
        <v>72</v>
      </c>
      <c r="F2854" s="567">
        <v>17</v>
      </c>
      <c r="G2854" s="567">
        <v>236</v>
      </c>
      <c r="H2854" s="567">
        <v>2150</v>
      </c>
      <c r="O2854"/>
    </row>
    <row r="2855" spans="1:15" x14ac:dyDescent="0.2">
      <c r="A2855" s="567">
        <v>1462</v>
      </c>
      <c r="B2855" s="568" t="s">
        <v>1600</v>
      </c>
      <c r="C2855" s="568" t="s">
        <v>1602</v>
      </c>
      <c r="D2855" s="567">
        <v>4022</v>
      </c>
      <c r="E2855" s="567">
        <v>72</v>
      </c>
      <c r="F2855" s="567">
        <v>17</v>
      </c>
      <c r="G2855" s="567">
        <v>236</v>
      </c>
      <c r="H2855" s="567">
        <v>2150</v>
      </c>
      <c r="O2855"/>
    </row>
    <row r="2856" spans="1:15" x14ac:dyDescent="0.2">
      <c r="A2856" s="567">
        <v>1463</v>
      </c>
      <c r="B2856" s="568" t="s">
        <v>1600</v>
      </c>
      <c r="C2856" s="568" t="s">
        <v>1603</v>
      </c>
      <c r="D2856" s="567">
        <v>4023</v>
      </c>
      <c r="E2856" s="567">
        <v>72</v>
      </c>
      <c r="F2856" s="567">
        <v>17</v>
      </c>
      <c r="G2856" s="567">
        <v>236</v>
      </c>
      <c r="H2856" s="567">
        <v>2150</v>
      </c>
      <c r="O2856"/>
    </row>
    <row r="2857" spans="1:15" x14ac:dyDescent="0.2">
      <c r="A2857" s="567">
        <v>1464</v>
      </c>
      <c r="B2857" s="568" t="s">
        <v>1600</v>
      </c>
      <c r="C2857" s="568" t="s">
        <v>1604</v>
      </c>
      <c r="D2857" s="567">
        <v>4024</v>
      </c>
      <c r="E2857" s="567">
        <v>72</v>
      </c>
      <c r="F2857" s="567">
        <v>17</v>
      </c>
      <c r="G2857" s="567">
        <v>236</v>
      </c>
      <c r="H2857" s="567">
        <v>2150</v>
      </c>
      <c r="O2857"/>
    </row>
    <row r="2858" spans="1:15" x14ac:dyDescent="0.2">
      <c r="A2858" s="567">
        <v>2348</v>
      </c>
      <c r="B2858" s="568" t="s">
        <v>2537</v>
      </c>
      <c r="C2858" s="568" t="s">
        <v>2536</v>
      </c>
      <c r="D2858" s="567">
        <v>6757</v>
      </c>
      <c r="E2858" s="567">
        <v>106</v>
      </c>
      <c r="F2858" s="567">
        <v>8</v>
      </c>
      <c r="G2858" s="567">
        <v>337</v>
      </c>
      <c r="H2858" s="567">
        <v>3180</v>
      </c>
      <c r="O2858"/>
    </row>
    <row r="2859" spans="1:15" x14ac:dyDescent="0.2">
      <c r="A2859" s="567">
        <v>2349</v>
      </c>
      <c r="B2859" s="568" t="s">
        <v>2537</v>
      </c>
      <c r="C2859" s="568" t="s">
        <v>2538</v>
      </c>
      <c r="D2859" s="567">
        <v>6758</v>
      </c>
      <c r="E2859" s="567">
        <v>106</v>
      </c>
      <c r="F2859" s="567">
        <v>8</v>
      </c>
      <c r="G2859" s="567">
        <v>337</v>
      </c>
      <c r="H2859" s="567">
        <v>3180</v>
      </c>
      <c r="O2859"/>
    </row>
    <row r="2860" spans="1:15" x14ac:dyDescent="0.2">
      <c r="A2860" s="567">
        <v>2350</v>
      </c>
      <c r="B2860" s="568" t="s">
        <v>2537</v>
      </c>
      <c r="C2860" s="568" t="s">
        <v>2539</v>
      </c>
      <c r="D2860" s="567">
        <v>6759</v>
      </c>
      <c r="E2860" s="567">
        <v>106</v>
      </c>
      <c r="F2860" s="567">
        <v>8</v>
      </c>
      <c r="G2860" s="567">
        <v>337</v>
      </c>
      <c r="H2860" s="567">
        <v>3180</v>
      </c>
      <c r="O2860"/>
    </row>
    <row r="2861" spans="1:15" x14ac:dyDescent="0.2">
      <c r="A2861" s="567">
        <v>2351</v>
      </c>
      <c r="B2861" s="568" t="s">
        <v>2537</v>
      </c>
      <c r="C2861" s="568" t="s">
        <v>2540</v>
      </c>
      <c r="D2861" s="567">
        <v>6760</v>
      </c>
      <c r="E2861" s="567">
        <v>106</v>
      </c>
      <c r="F2861" s="567">
        <v>8</v>
      </c>
      <c r="G2861" s="567">
        <v>337</v>
      </c>
      <c r="H2861" s="567">
        <v>3180</v>
      </c>
      <c r="O2861"/>
    </row>
    <row r="2862" spans="1:15" x14ac:dyDescent="0.2">
      <c r="A2862" s="567">
        <v>2346</v>
      </c>
      <c r="B2862" s="568" t="s">
        <v>2537</v>
      </c>
      <c r="C2862" s="568" t="s">
        <v>2541</v>
      </c>
      <c r="D2862" s="567">
        <v>6755</v>
      </c>
      <c r="E2862" s="567">
        <v>106</v>
      </c>
      <c r="F2862" s="567">
        <v>8</v>
      </c>
      <c r="G2862" s="567">
        <v>337</v>
      </c>
      <c r="H2862" s="567">
        <v>3180</v>
      </c>
      <c r="O2862"/>
    </row>
    <row r="2863" spans="1:15" x14ac:dyDescent="0.2">
      <c r="A2863" s="567">
        <v>2345</v>
      </c>
      <c r="B2863" s="568" t="s">
        <v>2537</v>
      </c>
      <c r="C2863" s="568" t="s">
        <v>2542</v>
      </c>
      <c r="D2863" s="567">
        <v>6754</v>
      </c>
      <c r="E2863" s="567">
        <v>106</v>
      </c>
      <c r="F2863" s="567">
        <v>8</v>
      </c>
      <c r="G2863" s="567">
        <v>337</v>
      </c>
      <c r="H2863" s="567">
        <v>3180</v>
      </c>
      <c r="O2863"/>
    </row>
    <row r="2864" spans="1:15" x14ac:dyDescent="0.2">
      <c r="A2864" s="567">
        <v>2347</v>
      </c>
      <c r="B2864" s="568" t="s">
        <v>2537</v>
      </c>
      <c r="C2864" s="568" t="s">
        <v>2111</v>
      </c>
      <c r="D2864" s="567">
        <v>6756</v>
      </c>
      <c r="E2864" s="567">
        <v>106</v>
      </c>
      <c r="F2864" s="567">
        <v>8</v>
      </c>
      <c r="G2864" s="567">
        <v>337</v>
      </c>
      <c r="H2864" s="567">
        <v>3180</v>
      </c>
      <c r="O2864"/>
    </row>
    <row r="2865" spans="1:15" x14ac:dyDescent="0.2">
      <c r="A2865" s="567">
        <v>2343</v>
      </c>
      <c r="B2865" s="568" t="s">
        <v>2537</v>
      </c>
      <c r="C2865" s="568" t="s">
        <v>2559</v>
      </c>
      <c r="D2865" s="567">
        <v>6752</v>
      </c>
      <c r="E2865" s="567">
        <v>106</v>
      </c>
      <c r="F2865" s="567">
        <v>8</v>
      </c>
      <c r="G2865" s="567">
        <v>337</v>
      </c>
      <c r="H2865" s="567">
        <v>3180</v>
      </c>
      <c r="O2865"/>
    </row>
    <row r="2866" spans="1:15" x14ac:dyDescent="0.2">
      <c r="A2866" s="567">
        <v>2342</v>
      </c>
      <c r="B2866" s="568" t="s">
        <v>2537</v>
      </c>
      <c r="C2866" s="568" t="s">
        <v>2563</v>
      </c>
      <c r="D2866" s="567">
        <v>6751</v>
      </c>
      <c r="E2866" s="567">
        <v>106</v>
      </c>
      <c r="F2866" s="567">
        <v>8</v>
      </c>
      <c r="G2866" s="567">
        <v>337</v>
      </c>
      <c r="H2866" s="567">
        <v>3180</v>
      </c>
      <c r="O2866"/>
    </row>
    <row r="2867" spans="1:15" x14ac:dyDescent="0.2">
      <c r="A2867" s="567">
        <v>2344</v>
      </c>
      <c r="B2867" s="568" t="s">
        <v>2537</v>
      </c>
      <c r="C2867" s="568" t="s">
        <v>2564</v>
      </c>
      <c r="D2867" s="567">
        <v>6753</v>
      </c>
      <c r="E2867" s="567">
        <v>106</v>
      </c>
      <c r="F2867" s="567">
        <v>8</v>
      </c>
      <c r="G2867" s="567">
        <v>337</v>
      </c>
      <c r="H2867" s="567">
        <v>3180</v>
      </c>
      <c r="O2867"/>
    </row>
    <row r="2868" spans="1:15" x14ac:dyDescent="0.2">
      <c r="A2868" s="567">
        <v>2341</v>
      </c>
      <c r="B2868" s="568" t="s">
        <v>2537</v>
      </c>
      <c r="C2868" s="568" t="s">
        <v>2537</v>
      </c>
      <c r="D2868" s="567">
        <v>6750</v>
      </c>
      <c r="E2868" s="567">
        <v>106</v>
      </c>
      <c r="F2868" s="567">
        <v>8</v>
      </c>
      <c r="G2868" s="567">
        <v>337</v>
      </c>
      <c r="H2868" s="567">
        <v>3180</v>
      </c>
      <c r="O2868"/>
    </row>
    <row r="2869" spans="1:15" x14ac:dyDescent="0.2">
      <c r="A2869" s="567">
        <v>1266</v>
      </c>
      <c r="B2869" s="568" t="s">
        <v>1253</v>
      </c>
      <c r="C2869" s="568" t="s">
        <v>1252</v>
      </c>
      <c r="D2869" s="567">
        <v>3422</v>
      </c>
      <c r="E2869" s="567">
        <v>109</v>
      </c>
      <c r="F2869" s="567">
        <v>3</v>
      </c>
      <c r="G2869" s="567">
        <v>215</v>
      </c>
      <c r="H2869" s="567">
        <v>2121</v>
      </c>
      <c r="O2869"/>
    </row>
    <row r="2870" spans="1:15" x14ac:dyDescent="0.2">
      <c r="A2870" s="567">
        <v>1264</v>
      </c>
      <c r="B2870" s="568" t="s">
        <v>1253</v>
      </c>
      <c r="C2870" s="568" t="s">
        <v>1255</v>
      </c>
      <c r="D2870" s="567">
        <v>3420</v>
      </c>
      <c r="E2870" s="567">
        <v>109</v>
      </c>
      <c r="F2870" s="567">
        <v>3</v>
      </c>
      <c r="G2870" s="567">
        <v>215</v>
      </c>
      <c r="H2870" s="567">
        <v>2121</v>
      </c>
      <c r="O2870"/>
    </row>
    <row r="2871" spans="1:15" x14ac:dyDescent="0.2">
      <c r="A2871" s="567">
        <v>1267</v>
      </c>
      <c r="B2871" s="568" t="s">
        <v>1253</v>
      </c>
      <c r="C2871" s="568" t="s">
        <v>1257</v>
      </c>
      <c r="D2871" s="567">
        <v>3423</v>
      </c>
      <c r="E2871" s="567">
        <v>109</v>
      </c>
      <c r="F2871" s="567">
        <v>3</v>
      </c>
      <c r="G2871" s="567">
        <v>215</v>
      </c>
      <c r="H2871" s="567">
        <v>2121</v>
      </c>
      <c r="O2871"/>
    </row>
    <row r="2872" spans="1:15" x14ac:dyDescent="0.2">
      <c r="A2872" s="567">
        <v>1265</v>
      </c>
      <c r="B2872" s="568" t="s">
        <v>1253</v>
      </c>
      <c r="C2872" s="568" t="s">
        <v>1258</v>
      </c>
      <c r="D2872" s="567">
        <v>3421</v>
      </c>
      <c r="E2872" s="567">
        <v>109</v>
      </c>
      <c r="F2872" s="567">
        <v>3</v>
      </c>
      <c r="G2872" s="567">
        <v>215</v>
      </c>
      <c r="H2872" s="567">
        <v>2121</v>
      </c>
      <c r="O2872"/>
    </row>
    <row r="2873" spans="1:15" x14ac:dyDescent="0.2">
      <c r="A2873" s="567">
        <v>658</v>
      </c>
      <c r="B2873" s="568" t="s">
        <v>703</v>
      </c>
      <c r="C2873" s="568" t="s">
        <v>702</v>
      </c>
      <c r="D2873" s="567">
        <v>1463</v>
      </c>
      <c r="E2873" s="567">
        <v>0</v>
      </c>
      <c r="F2873" s="567">
        <v>1</v>
      </c>
      <c r="G2873" s="567">
        <v>111</v>
      </c>
      <c r="H2873" s="567">
        <v>1170</v>
      </c>
      <c r="O2873"/>
    </row>
    <row r="2874" spans="1:15" x14ac:dyDescent="0.2">
      <c r="A2874" s="567">
        <v>665</v>
      </c>
      <c r="B2874" s="568" t="s">
        <v>703</v>
      </c>
      <c r="C2874" s="568" t="s">
        <v>374</v>
      </c>
      <c r="D2874" s="567">
        <v>1470</v>
      </c>
      <c r="E2874" s="567">
        <v>0</v>
      </c>
      <c r="F2874" s="567">
        <v>1</v>
      </c>
      <c r="G2874" s="567">
        <v>111</v>
      </c>
      <c r="H2874" s="567">
        <v>1170</v>
      </c>
      <c r="O2874"/>
    </row>
    <row r="2875" spans="1:15" x14ac:dyDescent="0.2">
      <c r="A2875" s="567">
        <v>664</v>
      </c>
      <c r="B2875" s="568" t="s">
        <v>703</v>
      </c>
      <c r="C2875" s="568" t="s">
        <v>445</v>
      </c>
      <c r="D2875" s="567">
        <v>1469</v>
      </c>
      <c r="E2875" s="567">
        <v>0</v>
      </c>
      <c r="F2875" s="567">
        <v>1</v>
      </c>
      <c r="G2875" s="567">
        <v>111</v>
      </c>
      <c r="H2875" s="567">
        <v>1170</v>
      </c>
      <c r="O2875"/>
    </row>
    <row r="2876" spans="1:15" x14ac:dyDescent="0.2">
      <c r="A2876" s="567">
        <v>663</v>
      </c>
      <c r="B2876" s="568" t="s">
        <v>703</v>
      </c>
      <c r="C2876" s="568" t="s">
        <v>704</v>
      </c>
      <c r="D2876" s="567">
        <v>1468</v>
      </c>
      <c r="E2876" s="567">
        <v>0</v>
      </c>
      <c r="F2876" s="567">
        <v>1</v>
      </c>
      <c r="G2876" s="567">
        <v>111</v>
      </c>
      <c r="H2876" s="567">
        <v>1170</v>
      </c>
      <c r="O2876"/>
    </row>
    <row r="2877" spans="1:15" x14ac:dyDescent="0.2">
      <c r="A2877" s="567">
        <v>662</v>
      </c>
      <c r="B2877" s="568" t="s">
        <v>703</v>
      </c>
      <c r="C2877" s="568" t="s">
        <v>705</v>
      </c>
      <c r="D2877" s="567">
        <v>1467</v>
      </c>
      <c r="E2877" s="567">
        <v>0</v>
      </c>
      <c r="F2877" s="567">
        <v>1</v>
      </c>
      <c r="G2877" s="567">
        <v>111</v>
      </c>
      <c r="H2877" s="567">
        <v>1170</v>
      </c>
      <c r="O2877"/>
    </row>
    <row r="2878" spans="1:15" x14ac:dyDescent="0.2">
      <c r="A2878" s="567">
        <v>661</v>
      </c>
      <c r="B2878" s="568" t="s">
        <v>703</v>
      </c>
      <c r="C2878" s="568" t="s">
        <v>706</v>
      </c>
      <c r="D2878" s="567">
        <v>1466</v>
      </c>
      <c r="E2878" s="567">
        <v>0</v>
      </c>
      <c r="F2878" s="567">
        <v>1</v>
      </c>
      <c r="G2878" s="567">
        <v>111</v>
      </c>
      <c r="H2878" s="567">
        <v>1170</v>
      </c>
      <c r="O2878"/>
    </row>
    <row r="2879" spans="1:15" x14ac:dyDescent="0.2">
      <c r="A2879" s="567">
        <v>657</v>
      </c>
      <c r="B2879" s="568" t="s">
        <v>703</v>
      </c>
      <c r="C2879" s="568" t="s">
        <v>707</v>
      </c>
      <c r="D2879" s="567">
        <v>1462</v>
      </c>
      <c r="E2879" s="567">
        <v>0</v>
      </c>
      <c r="F2879" s="567">
        <v>1</v>
      </c>
      <c r="G2879" s="567">
        <v>111</v>
      </c>
      <c r="H2879" s="567">
        <v>1170</v>
      </c>
      <c r="O2879"/>
    </row>
    <row r="2880" spans="1:15" x14ac:dyDescent="0.2">
      <c r="A2880" s="567">
        <v>659</v>
      </c>
      <c r="B2880" s="568" t="s">
        <v>703</v>
      </c>
      <c r="C2880" s="568" t="s">
        <v>708</v>
      </c>
      <c r="D2880" s="567">
        <v>1464</v>
      </c>
      <c r="E2880" s="567">
        <v>0</v>
      </c>
      <c r="F2880" s="567">
        <v>1</v>
      </c>
      <c r="G2880" s="567">
        <v>111</v>
      </c>
      <c r="H2880" s="567">
        <v>1170</v>
      </c>
      <c r="O2880"/>
    </row>
    <row r="2881" spans="1:15" x14ac:dyDescent="0.2">
      <c r="A2881" s="567">
        <v>666</v>
      </c>
      <c r="B2881" s="568" t="s">
        <v>703</v>
      </c>
      <c r="C2881" s="568" t="s">
        <v>709</v>
      </c>
      <c r="D2881" s="567">
        <v>1471</v>
      </c>
      <c r="E2881" s="567">
        <v>0</v>
      </c>
      <c r="F2881" s="567">
        <v>1</v>
      </c>
      <c r="G2881" s="567">
        <v>111</v>
      </c>
      <c r="H2881" s="567">
        <v>1170</v>
      </c>
      <c r="O2881"/>
    </row>
    <row r="2882" spans="1:15" x14ac:dyDescent="0.2">
      <c r="A2882" s="567">
        <v>674</v>
      </c>
      <c r="B2882" s="568" t="s">
        <v>703</v>
      </c>
      <c r="C2882" s="568" t="s">
        <v>710</v>
      </c>
      <c r="D2882" s="567">
        <v>1479</v>
      </c>
      <c r="E2882" s="567">
        <v>0</v>
      </c>
      <c r="F2882" s="567">
        <v>1</v>
      </c>
      <c r="G2882" s="567">
        <v>111</v>
      </c>
      <c r="H2882" s="567">
        <v>1170</v>
      </c>
      <c r="O2882"/>
    </row>
    <row r="2883" spans="1:15" x14ac:dyDescent="0.2">
      <c r="A2883" s="567">
        <v>660</v>
      </c>
      <c r="B2883" s="568" t="s">
        <v>703</v>
      </c>
      <c r="C2883" s="568" t="s">
        <v>711</v>
      </c>
      <c r="D2883" s="567">
        <v>1465</v>
      </c>
      <c r="E2883" s="567">
        <v>0</v>
      </c>
      <c r="F2883" s="567">
        <v>1</v>
      </c>
      <c r="G2883" s="567">
        <v>111</v>
      </c>
      <c r="H2883" s="567">
        <v>1170</v>
      </c>
      <c r="O2883"/>
    </row>
    <row r="2884" spans="1:15" x14ac:dyDescent="0.2">
      <c r="A2884" s="567">
        <v>667</v>
      </c>
      <c r="B2884" s="568" t="s">
        <v>703</v>
      </c>
      <c r="C2884" s="568" t="s">
        <v>712</v>
      </c>
      <c r="D2884" s="567">
        <v>1472</v>
      </c>
      <c r="E2884" s="567">
        <v>0</v>
      </c>
      <c r="F2884" s="567">
        <v>1</v>
      </c>
      <c r="G2884" s="567">
        <v>111</v>
      </c>
      <c r="H2884" s="567">
        <v>1170</v>
      </c>
      <c r="O2884"/>
    </row>
    <row r="2885" spans="1:15" x14ac:dyDescent="0.2">
      <c r="A2885" s="567">
        <v>668</v>
      </c>
      <c r="B2885" s="568" t="s">
        <v>703</v>
      </c>
      <c r="C2885" s="568" t="s">
        <v>713</v>
      </c>
      <c r="D2885" s="567">
        <v>1473</v>
      </c>
      <c r="E2885" s="567">
        <v>0</v>
      </c>
      <c r="F2885" s="567">
        <v>1</v>
      </c>
      <c r="G2885" s="567">
        <v>111</v>
      </c>
      <c r="H2885" s="567">
        <v>1170</v>
      </c>
      <c r="O2885"/>
    </row>
    <row r="2886" spans="1:15" x14ac:dyDescent="0.2">
      <c r="A2886" s="567">
        <v>669</v>
      </c>
      <c r="B2886" s="568" t="s">
        <v>703</v>
      </c>
      <c r="C2886" s="568" t="s">
        <v>714</v>
      </c>
      <c r="D2886" s="567">
        <v>1474</v>
      </c>
      <c r="E2886" s="567">
        <v>0</v>
      </c>
      <c r="F2886" s="567">
        <v>1</v>
      </c>
      <c r="G2886" s="567">
        <v>111</v>
      </c>
      <c r="H2886" s="567">
        <v>1170</v>
      </c>
      <c r="O2886"/>
    </row>
    <row r="2887" spans="1:15" x14ac:dyDescent="0.2">
      <c r="A2887" s="567">
        <v>670</v>
      </c>
      <c r="B2887" s="568" t="s">
        <v>703</v>
      </c>
      <c r="C2887" s="568" t="s">
        <v>715</v>
      </c>
      <c r="D2887" s="567">
        <v>1475</v>
      </c>
      <c r="E2887" s="567">
        <v>0</v>
      </c>
      <c r="F2887" s="567">
        <v>1</v>
      </c>
      <c r="G2887" s="567">
        <v>111</v>
      </c>
      <c r="H2887" s="567">
        <v>1170</v>
      </c>
      <c r="O2887"/>
    </row>
    <row r="2888" spans="1:15" x14ac:dyDescent="0.2">
      <c r="A2888" s="567">
        <v>671</v>
      </c>
      <c r="B2888" s="568" t="s">
        <v>703</v>
      </c>
      <c r="C2888" s="568" t="s">
        <v>716</v>
      </c>
      <c r="D2888" s="567">
        <v>1476</v>
      </c>
      <c r="E2888" s="567">
        <v>0</v>
      </c>
      <c r="F2888" s="567">
        <v>1</v>
      </c>
      <c r="G2888" s="567">
        <v>111</v>
      </c>
      <c r="H2888" s="567">
        <v>1170</v>
      </c>
      <c r="O2888"/>
    </row>
    <row r="2889" spans="1:15" x14ac:dyDescent="0.2">
      <c r="A2889" s="567">
        <v>655</v>
      </c>
      <c r="B2889" s="568" t="s">
        <v>703</v>
      </c>
      <c r="C2889" s="568" t="s">
        <v>703</v>
      </c>
      <c r="D2889" s="567">
        <v>1460</v>
      </c>
      <c r="E2889" s="567">
        <v>0</v>
      </c>
      <c r="F2889" s="567">
        <v>1</v>
      </c>
      <c r="G2889" s="567">
        <v>111</v>
      </c>
      <c r="H2889" s="567">
        <v>1170</v>
      </c>
      <c r="O2889"/>
    </row>
    <row r="2890" spans="1:15" x14ac:dyDescent="0.2">
      <c r="A2890" s="567">
        <v>673</v>
      </c>
      <c r="B2890" s="568" t="s">
        <v>703</v>
      </c>
      <c r="C2890" s="568" t="s">
        <v>717</v>
      </c>
      <c r="D2890" s="567">
        <v>1478</v>
      </c>
      <c r="E2890" s="567">
        <v>0</v>
      </c>
      <c r="F2890" s="567">
        <v>1</v>
      </c>
      <c r="G2890" s="567">
        <v>111</v>
      </c>
      <c r="H2890" s="567">
        <v>1170</v>
      </c>
      <c r="O2890"/>
    </row>
    <row r="2891" spans="1:15" x14ac:dyDescent="0.2">
      <c r="A2891" s="567">
        <v>675</v>
      </c>
      <c r="B2891" s="568" t="s">
        <v>703</v>
      </c>
      <c r="C2891" s="568" t="s">
        <v>718</v>
      </c>
      <c r="D2891" s="567">
        <v>1480</v>
      </c>
      <c r="E2891" s="567">
        <v>0</v>
      </c>
      <c r="F2891" s="567">
        <v>1</v>
      </c>
      <c r="G2891" s="567">
        <v>111</v>
      </c>
      <c r="H2891" s="567">
        <v>1170</v>
      </c>
      <c r="O2891"/>
    </row>
    <row r="2892" spans="1:15" x14ac:dyDescent="0.2">
      <c r="A2892" s="567">
        <v>676</v>
      </c>
      <c r="B2892" s="568" t="s">
        <v>703</v>
      </c>
      <c r="C2892" s="568" t="s">
        <v>719</v>
      </c>
      <c r="D2892" s="567">
        <v>1481</v>
      </c>
      <c r="E2892" s="567">
        <v>0</v>
      </c>
      <c r="F2892" s="567">
        <v>1</v>
      </c>
      <c r="G2892" s="567">
        <v>111</v>
      </c>
      <c r="H2892" s="567">
        <v>1170</v>
      </c>
      <c r="O2892"/>
    </row>
    <row r="2893" spans="1:15" x14ac:dyDescent="0.2">
      <c r="A2893" s="567">
        <v>677</v>
      </c>
      <c r="B2893" s="568" t="s">
        <v>703</v>
      </c>
      <c r="C2893" s="568" t="s">
        <v>720</v>
      </c>
      <c r="D2893" s="567">
        <v>1482</v>
      </c>
      <c r="E2893" s="567">
        <v>0</v>
      </c>
      <c r="F2893" s="567">
        <v>1</v>
      </c>
      <c r="G2893" s="567">
        <v>111</v>
      </c>
      <c r="H2893" s="567">
        <v>1170</v>
      </c>
      <c r="O2893"/>
    </row>
    <row r="2894" spans="1:15" x14ac:dyDescent="0.2">
      <c r="A2894" s="567">
        <v>656</v>
      </c>
      <c r="B2894" s="568" t="s">
        <v>703</v>
      </c>
      <c r="C2894" s="568" t="s">
        <v>721</v>
      </c>
      <c r="D2894" s="567">
        <v>1461</v>
      </c>
      <c r="E2894" s="567">
        <v>0</v>
      </c>
      <c r="F2894" s="567">
        <v>1</v>
      </c>
      <c r="G2894" s="567">
        <v>111</v>
      </c>
      <c r="H2894" s="567">
        <v>1170</v>
      </c>
      <c r="O2894"/>
    </row>
    <row r="2895" spans="1:15" x14ac:dyDescent="0.2">
      <c r="A2895" s="567">
        <v>672</v>
      </c>
      <c r="B2895" s="568" t="s">
        <v>703</v>
      </c>
      <c r="C2895" s="568" t="s">
        <v>722</v>
      </c>
      <c r="D2895" s="567">
        <v>1477</v>
      </c>
      <c r="E2895" s="567">
        <v>0</v>
      </c>
      <c r="F2895" s="567">
        <v>1</v>
      </c>
      <c r="G2895" s="567">
        <v>111</v>
      </c>
      <c r="H2895" s="567">
        <v>1170</v>
      </c>
      <c r="O2895"/>
    </row>
    <row r="2896" spans="1:15" x14ac:dyDescent="0.2">
      <c r="A2896" s="567">
        <v>2019</v>
      </c>
      <c r="B2896" s="568" t="s">
        <v>2385</v>
      </c>
      <c r="C2896" s="568" t="s">
        <v>1698</v>
      </c>
      <c r="D2896" s="567">
        <v>5740</v>
      </c>
      <c r="E2896" s="567">
        <v>57</v>
      </c>
      <c r="F2896" s="567">
        <v>17</v>
      </c>
      <c r="G2896" s="567">
        <v>325</v>
      </c>
      <c r="H2896" s="567">
        <v>3160</v>
      </c>
      <c r="O2896"/>
    </row>
    <row r="2897" spans="1:15" x14ac:dyDescent="0.2">
      <c r="A2897" s="567">
        <v>2020</v>
      </c>
      <c r="B2897" s="568" t="s">
        <v>2385</v>
      </c>
      <c r="C2897" s="568" t="s">
        <v>2386</v>
      </c>
      <c r="D2897" s="567">
        <v>5741</v>
      </c>
      <c r="E2897" s="567">
        <v>57</v>
      </c>
      <c r="F2897" s="567">
        <v>17</v>
      </c>
      <c r="G2897" s="567">
        <v>325</v>
      </c>
      <c r="H2897" s="567">
        <v>3160</v>
      </c>
      <c r="O2897"/>
    </row>
    <row r="2898" spans="1:15" x14ac:dyDescent="0.2">
      <c r="A2898" s="567">
        <v>2021</v>
      </c>
      <c r="B2898" s="568" t="s">
        <v>2385</v>
      </c>
      <c r="C2898" s="568" t="s">
        <v>2387</v>
      </c>
      <c r="D2898" s="567">
        <v>5742</v>
      </c>
      <c r="E2898" s="567">
        <v>57</v>
      </c>
      <c r="F2898" s="567">
        <v>17</v>
      </c>
      <c r="G2898" s="567">
        <v>325</v>
      </c>
      <c r="H2898" s="567">
        <v>3160</v>
      </c>
      <c r="O2898"/>
    </row>
    <row r="2899" spans="1:15" x14ac:dyDescent="0.2">
      <c r="A2899" s="567">
        <v>2022</v>
      </c>
      <c r="B2899" s="568" t="s">
        <v>2385</v>
      </c>
      <c r="C2899" s="568" t="s">
        <v>2060</v>
      </c>
      <c r="D2899" s="567">
        <v>5743</v>
      </c>
      <c r="E2899" s="567">
        <v>57</v>
      </c>
      <c r="F2899" s="567">
        <v>17</v>
      </c>
      <c r="G2899" s="567">
        <v>325</v>
      </c>
      <c r="H2899" s="567">
        <v>3160</v>
      </c>
      <c r="O2899"/>
    </row>
    <row r="2900" spans="1:15" x14ac:dyDescent="0.2">
      <c r="A2900" s="567">
        <v>2023</v>
      </c>
      <c r="B2900" s="568" t="s">
        <v>2385</v>
      </c>
      <c r="C2900" s="568" t="s">
        <v>2388</v>
      </c>
      <c r="D2900" s="567">
        <v>5744</v>
      </c>
      <c r="E2900" s="567">
        <v>57</v>
      </c>
      <c r="F2900" s="567">
        <v>17</v>
      </c>
      <c r="G2900" s="567">
        <v>325</v>
      </c>
      <c r="H2900" s="567">
        <v>3160</v>
      </c>
      <c r="O2900"/>
    </row>
    <row r="2901" spans="1:15" x14ac:dyDescent="0.2">
      <c r="A2901" s="567">
        <v>2024</v>
      </c>
      <c r="B2901" s="568" t="s">
        <v>2385</v>
      </c>
      <c r="C2901" s="568" t="s">
        <v>415</v>
      </c>
      <c r="D2901" s="567">
        <v>5745</v>
      </c>
      <c r="E2901" s="567">
        <v>57</v>
      </c>
      <c r="F2901" s="567">
        <v>17</v>
      </c>
      <c r="G2901" s="567">
        <v>325</v>
      </c>
      <c r="H2901" s="567">
        <v>3160</v>
      </c>
      <c r="O2901"/>
    </row>
    <row r="2902" spans="1:15" x14ac:dyDescent="0.2">
      <c r="A2902" s="567">
        <v>2025</v>
      </c>
      <c r="B2902" s="568" t="s">
        <v>2385</v>
      </c>
      <c r="C2902" s="568" t="s">
        <v>2389</v>
      </c>
      <c r="D2902" s="567">
        <v>5746</v>
      </c>
      <c r="E2902" s="567">
        <v>57</v>
      </c>
      <c r="F2902" s="567">
        <v>17</v>
      </c>
      <c r="G2902" s="567">
        <v>325</v>
      </c>
      <c r="H2902" s="567">
        <v>3160</v>
      </c>
      <c r="O2902"/>
    </row>
    <row r="2903" spans="1:15" x14ac:dyDescent="0.2">
      <c r="A2903" s="567">
        <v>2026</v>
      </c>
      <c r="B2903" s="568" t="s">
        <v>2385</v>
      </c>
      <c r="C2903" s="568" t="s">
        <v>2390</v>
      </c>
      <c r="D2903" s="567">
        <v>5747</v>
      </c>
      <c r="E2903" s="567">
        <v>57</v>
      </c>
      <c r="F2903" s="567">
        <v>17</v>
      </c>
      <c r="G2903" s="567">
        <v>325</v>
      </c>
      <c r="H2903" s="567">
        <v>3160</v>
      </c>
      <c r="O2903"/>
    </row>
    <row r="2904" spans="1:15" x14ac:dyDescent="0.2">
      <c r="A2904" s="567">
        <v>2027</v>
      </c>
      <c r="B2904" s="568" t="s">
        <v>2385</v>
      </c>
      <c r="C2904" s="568" t="s">
        <v>2391</v>
      </c>
      <c r="D2904" s="567">
        <v>5748</v>
      </c>
      <c r="E2904" s="567">
        <v>57</v>
      </c>
      <c r="F2904" s="567">
        <v>17</v>
      </c>
      <c r="G2904" s="567">
        <v>325</v>
      </c>
      <c r="H2904" s="567">
        <v>3160</v>
      </c>
      <c r="O2904"/>
    </row>
    <row r="2905" spans="1:15" x14ac:dyDescent="0.2">
      <c r="A2905" s="567">
        <v>2028</v>
      </c>
      <c r="B2905" s="568" t="s">
        <v>2385</v>
      </c>
      <c r="C2905" s="568" t="s">
        <v>2392</v>
      </c>
      <c r="D2905" s="567">
        <v>5749</v>
      </c>
      <c r="E2905" s="567">
        <v>57</v>
      </c>
      <c r="F2905" s="567">
        <v>17</v>
      </c>
      <c r="G2905" s="567">
        <v>325</v>
      </c>
      <c r="H2905" s="567">
        <v>3160</v>
      </c>
      <c r="O2905"/>
    </row>
    <row r="2906" spans="1:15" x14ac:dyDescent="0.2">
      <c r="A2906" s="567">
        <v>561</v>
      </c>
      <c r="B2906" s="568" t="s">
        <v>235</v>
      </c>
      <c r="C2906" s="568" t="s">
        <v>234</v>
      </c>
      <c r="D2906" s="567">
        <v>1195</v>
      </c>
      <c r="E2906" s="567">
        <v>75</v>
      </c>
      <c r="F2906" s="567">
        <v>19</v>
      </c>
      <c r="G2906" s="567">
        <v>119</v>
      </c>
      <c r="H2906" s="567">
        <v>1110</v>
      </c>
      <c r="O2906"/>
    </row>
    <row r="2907" spans="1:15" x14ac:dyDescent="0.2">
      <c r="A2907" s="567">
        <v>348</v>
      </c>
      <c r="B2907" s="568" t="s">
        <v>1086</v>
      </c>
      <c r="C2907" s="568" t="s">
        <v>234</v>
      </c>
      <c r="D2907" s="567">
        <v>606</v>
      </c>
      <c r="E2907" s="567">
        <v>79</v>
      </c>
      <c r="F2907" s="567">
        <v>19</v>
      </c>
      <c r="G2907" s="567">
        <v>127</v>
      </c>
      <c r="H2907" s="567">
        <v>1200</v>
      </c>
      <c r="O2907"/>
    </row>
    <row r="2908" spans="1:15" x14ac:dyDescent="0.2">
      <c r="A2908" s="567">
        <v>347</v>
      </c>
      <c r="B2908" s="568" t="s">
        <v>1086</v>
      </c>
      <c r="C2908" s="568" t="s">
        <v>1087</v>
      </c>
      <c r="D2908" s="567">
        <v>605</v>
      </c>
      <c r="E2908" s="567">
        <v>79</v>
      </c>
      <c r="F2908" s="567">
        <v>19</v>
      </c>
      <c r="G2908" s="567">
        <v>127</v>
      </c>
      <c r="H2908" s="567">
        <v>1200</v>
      </c>
      <c r="O2908"/>
    </row>
    <row r="2909" spans="1:15" x14ac:dyDescent="0.2">
      <c r="A2909" s="567">
        <v>1992</v>
      </c>
      <c r="B2909" s="568" t="s">
        <v>1962</v>
      </c>
      <c r="C2909" s="568" t="s">
        <v>1962</v>
      </c>
      <c r="D2909" s="567">
        <v>5660</v>
      </c>
      <c r="E2909" s="567">
        <v>111</v>
      </c>
      <c r="F2909" s="567">
        <v>3</v>
      </c>
      <c r="G2909" s="567">
        <v>315</v>
      </c>
      <c r="H2909" s="567">
        <v>3120</v>
      </c>
      <c r="O2909"/>
    </row>
    <row r="2910" spans="1:15" x14ac:dyDescent="0.2">
      <c r="A2910" s="567">
        <v>1993</v>
      </c>
      <c r="B2910" s="568" t="s">
        <v>1962</v>
      </c>
      <c r="C2910" s="568" t="s">
        <v>1087</v>
      </c>
      <c r="D2910" s="567">
        <v>5661</v>
      </c>
      <c r="E2910" s="567">
        <v>111</v>
      </c>
      <c r="F2910" s="567">
        <v>3</v>
      </c>
      <c r="G2910" s="567">
        <v>315</v>
      </c>
      <c r="H2910" s="567">
        <v>3120</v>
      </c>
      <c r="O2910"/>
    </row>
    <row r="2911" spans="1:15" x14ac:dyDescent="0.2">
      <c r="A2911" s="567">
        <v>1288</v>
      </c>
      <c r="B2911" s="568" t="s">
        <v>1340</v>
      </c>
      <c r="C2911" s="568" t="s">
        <v>1340</v>
      </c>
      <c r="D2911" s="567">
        <v>3480</v>
      </c>
      <c r="E2911" s="567">
        <v>82</v>
      </c>
      <c r="F2911" s="567">
        <v>2</v>
      </c>
      <c r="G2911" s="567">
        <v>215</v>
      </c>
      <c r="H2911" s="567">
        <v>2121</v>
      </c>
      <c r="O2911"/>
    </row>
    <row r="2912" spans="1:15" x14ac:dyDescent="0.2">
      <c r="A2912" s="567">
        <v>839</v>
      </c>
      <c r="B2912" s="568" t="s">
        <v>468</v>
      </c>
      <c r="C2912" s="568" t="s">
        <v>468</v>
      </c>
      <c r="D2912" s="567">
        <v>2095</v>
      </c>
      <c r="E2912" s="567">
        <v>49</v>
      </c>
      <c r="F2912" s="567">
        <v>18</v>
      </c>
      <c r="G2912" s="567">
        <v>117</v>
      </c>
      <c r="H2912" s="567">
        <v>1130</v>
      </c>
      <c r="O2912"/>
    </row>
    <row r="2913" spans="1:15" x14ac:dyDescent="0.2">
      <c r="A2913" s="567">
        <v>908</v>
      </c>
      <c r="B2913" s="568" t="s">
        <v>66</v>
      </c>
      <c r="C2913" s="568" t="s">
        <v>66</v>
      </c>
      <c r="D2913" s="567">
        <v>2335</v>
      </c>
      <c r="E2913" s="567">
        <v>70</v>
      </c>
      <c r="F2913" s="567">
        <v>18</v>
      </c>
      <c r="G2913" s="567">
        <v>136</v>
      </c>
      <c r="H2913" s="567">
        <v>1101</v>
      </c>
      <c r="O2913"/>
    </row>
    <row r="2914" spans="1:15" x14ac:dyDescent="0.2">
      <c r="A2914" s="567">
        <v>449</v>
      </c>
      <c r="B2914" s="568" t="s">
        <v>609</v>
      </c>
      <c r="C2914" s="568" t="s">
        <v>609</v>
      </c>
      <c r="D2914" s="567">
        <v>855</v>
      </c>
      <c r="E2914" s="567">
        <v>94</v>
      </c>
      <c r="F2914" s="567">
        <v>1</v>
      </c>
      <c r="G2914" s="567">
        <v>125</v>
      </c>
      <c r="H2914" s="567">
        <v>1150</v>
      </c>
      <c r="O2914"/>
    </row>
    <row r="2915" spans="1:15" x14ac:dyDescent="0.2">
      <c r="A2915" s="567">
        <v>2194</v>
      </c>
      <c r="B2915" s="568" t="s">
        <v>609</v>
      </c>
      <c r="C2915" s="568" t="s">
        <v>609</v>
      </c>
      <c r="D2915" s="567">
        <v>6320</v>
      </c>
      <c r="E2915" s="567">
        <v>48</v>
      </c>
      <c r="F2915" s="567">
        <v>16</v>
      </c>
      <c r="G2915" s="567">
        <v>327</v>
      </c>
      <c r="H2915" s="567">
        <v>3170</v>
      </c>
      <c r="O2915"/>
    </row>
    <row r="2916" spans="1:15" x14ac:dyDescent="0.2">
      <c r="A2916" s="567">
        <v>506</v>
      </c>
      <c r="B2916" s="568" t="s">
        <v>795</v>
      </c>
      <c r="C2916" s="568" t="s">
        <v>795</v>
      </c>
      <c r="D2916" s="567">
        <v>1010</v>
      </c>
      <c r="E2916" s="567">
        <v>71</v>
      </c>
      <c r="F2916" s="567">
        <v>1</v>
      </c>
      <c r="G2916" s="567">
        <v>118</v>
      </c>
      <c r="H2916" s="567">
        <v>1170</v>
      </c>
      <c r="O2916"/>
    </row>
    <row r="2917" spans="1:15" x14ac:dyDescent="0.2">
      <c r="A2917" s="567">
        <v>875</v>
      </c>
      <c r="B2917" s="568" t="s">
        <v>82</v>
      </c>
      <c r="C2917" s="568" t="s">
        <v>82</v>
      </c>
      <c r="D2917" s="567">
        <v>2225</v>
      </c>
      <c r="E2917" s="567">
        <v>71</v>
      </c>
      <c r="F2917" s="567">
        <v>19</v>
      </c>
      <c r="G2917" s="567">
        <v>136</v>
      </c>
      <c r="H2917" s="567">
        <v>1101</v>
      </c>
      <c r="O2917"/>
    </row>
    <row r="2918" spans="1:15" x14ac:dyDescent="0.2">
      <c r="A2918" s="567">
        <v>3086</v>
      </c>
      <c r="B2918" s="568" t="s">
        <v>1749</v>
      </c>
      <c r="C2918" s="568" t="s">
        <v>1749</v>
      </c>
      <c r="D2918" s="567">
        <v>8935</v>
      </c>
      <c r="E2918" s="567">
        <v>117</v>
      </c>
      <c r="F2918" s="567">
        <v>11</v>
      </c>
      <c r="G2918" s="567">
        <v>426</v>
      </c>
      <c r="H2918" s="567">
        <v>4110</v>
      </c>
      <c r="O2918"/>
    </row>
    <row r="2919" spans="1:15" x14ac:dyDescent="0.2">
      <c r="A2919" s="567">
        <v>39</v>
      </c>
      <c r="B2919" s="568" t="s">
        <v>269</v>
      </c>
      <c r="C2919" s="568" t="s">
        <v>268</v>
      </c>
      <c r="D2919" s="567">
        <v>61</v>
      </c>
      <c r="E2919" s="567">
        <v>115</v>
      </c>
      <c r="F2919" s="567">
        <v>21</v>
      </c>
      <c r="G2919" s="567">
        <v>128</v>
      </c>
      <c r="H2919" s="567">
        <v>1121</v>
      </c>
      <c r="O2919"/>
    </row>
    <row r="2920" spans="1:15" x14ac:dyDescent="0.2">
      <c r="A2920" s="567">
        <v>38</v>
      </c>
      <c r="B2920" s="568" t="s">
        <v>269</v>
      </c>
      <c r="C2920" s="568" t="s">
        <v>269</v>
      </c>
      <c r="D2920" s="567">
        <v>60</v>
      </c>
      <c r="E2920" s="567">
        <v>115</v>
      </c>
      <c r="F2920" s="567">
        <v>21</v>
      </c>
      <c r="G2920" s="567">
        <v>128</v>
      </c>
      <c r="H2920" s="567">
        <v>1121</v>
      </c>
      <c r="O2920"/>
    </row>
    <row r="2921" spans="1:15" x14ac:dyDescent="0.2">
      <c r="A2921" s="567">
        <v>40</v>
      </c>
      <c r="B2921" s="568" t="s">
        <v>269</v>
      </c>
      <c r="C2921" s="568" t="s">
        <v>284</v>
      </c>
      <c r="D2921" s="567">
        <v>62</v>
      </c>
      <c r="E2921" s="567">
        <v>115</v>
      </c>
      <c r="F2921" s="567">
        <v>21</v>
      </c>
      <c r="G2921" s="567">
        <v>128</v>
      </c>
      <c r="H2921" s="567">
        <v>1121</v>
      </c>
      <c r="O2921"/>
    </row>
    <row r="2922" spans="1:15" x14ac:dyDescent="0.2">
      <c r="A2922" s="567">
        <v>41</v>
      </c>
      <c r="B2922" s="568" t="s">
        <v>269</v>
      </c>
      <c r="C2922" s="568" t="s">
        <v>285</v>
      </c>
      <c r="D2922" s="567">
        <v>63</v>
      </c>
      <c r="E2922" s="567">
        <v>115</v>
      </c>
      <c r="F2922" s="567">
        <v>21</v>
      </c>
      <c r="G2922" s="567">
        <v>128</v>
      </c>
      <c r="H2922" s="567">
        <v>1121</v>
      </c>
      <c r="O2922"/>
    </row>
    <row r="2923" spans="1:15" x14ac:dyDescent="0.2">
      <c r="A2923" s="567">
        <v>42</v>
      </c>
      <c r="B2923" s="568" t="s">
        <v>269</v>
      </c>
      <c r="C2923" s="568" t="s">
        <v>286</v>
      </c>
      <c r="D2923" s="567">
        <v>64</v>
      </c>
      <c r="E2923" s="567">
        <v>115</v>
      </c>
      <c r="F2923" s="567">
        <v>21</v>
      </c>
      <c r="G2923" s="567">
        <v>128</v>
      </c>
      <c r="H2923" s="567">
        <v>1121</v>
      </c>
      <c r="O2923"/>
    </row>
    <row r="2924" spans="1:15" x14ac:dyDescent="0.2">
      <c r="A2924" s="567">
        <v>43</v>
      </c>
      <c r="B2924" s="568" t="s">
        <v>269</v>
      </c>
      <c r="C2924" s="568" t="s">
        <v>287</v>
      </c>
      <c r="D2924" s="567">
        <v>65</v>
      </c>
      <c r="E2924" s="567">
        <v>115</v>
      </c>
      <c r="F2924" s="567">
        <v>21</v>
      </c>
      <c r="G2924" s="567">
        <v>128</v>
      </c>
      <c r="H2924" s="567">
        <v>1121</v>
      </c>
      <c r="O2924"/>
    </row>
    <row r="2925" spans="1:15" x14ac:dyDescent="0.2">
      <c r="A2925" s="567">
        <v>44</v>
      </c>
      <c r="B2925" s="568" t="s">
        <v>269</v>
      </c>
      <c r="C2925" s="568" t="s">
        <v>288</v>
      </c>
      <c r="D2925" s="567">
        <v>66</v>
      </c>
      <c r="E2925" s="567">
        <v>115</v>
      </c>
      <c r="F2925" s="567">
        <v>21</v>
      </c>
      <c r="G2925" s="567">
        <v>128</v>
      </c>
      <c r="H2925" s="567">
        <v>1121</v>
      </c>
      <c r="O2925"/>
    </row>
    <row r="2926" spans="1:15" x14ac:dyDescent="0.2">
      <c r="A2926" s="567">
        <v>2492</v>
      </c>
      <c r="B2926" s="568" t="s">
        <v>2065</v>
      </c>
      <c r="C2926" s="568" t="s">
        <v>2065</v>
      </c>
      <c r="D2926" s="567">
        <v>7165</v>
      </c>
      <c r="E2926" s="567">
        <v>86</v>
      </c>
      <c r="F2926" s="567">
        <v>5</v>
      </c>
      <c r="G2926" s="567">
        <v>336</v>
      </c>
      <c r="H2926" s="567">
        <v>3130</v>
      </c>
      <c r="O2926"/>
    </row>
    <row r="2927" spans="1:15" x14ac:dyDescent="0.2">
      <c r="A2927" s="567">
        <v>2270</v>
      </c>
      <c r="B2927" s="568" t="s">
        <v>2279</v>
      </c>
      <c r="C2927" s="568" t="s">
        <v>2279</v>
      </c>
      <c r="D2927" s="567">
        <v>6560</v>
      </c>
      <c r="E2927" s="567">
        <v>80</v>
      </c>
      <c r="F2927" s="567">
        <v>14</v>
      </c>
      <c r="G2927" s="567">
        <v>335</v>
      </c>
      <c r="H2927" s="567">
        <v>3151</v>
      </c>
      <c r="O2927"/>
    </row>
    <row r="2928" spans="1:15" x14ac:dyDescent="0.2">
      <c r="A2928" s="567">
        <v>2272</v>
      </c>
      <c r="B2928" s="568" t="s">
        <v>2279</v>
      </c>
      <c r="C2928" s="568" t="s">
        <v>2280</v>
      </c>
      <c r="D2928" s="567">
        <v>6562</v>
      </c>
      <c r="E2928" s="567">
        <v>80</v>
      </c>
      <c r="F2928" s="567">
        <v>14</v>
      </c>
      <c r="G2928" s="567">
        <v>335</v>
      </c>
      <c r="H2928" s="567">
        <v>3151</v>
      </c>
      <c r="O2928"/>
    </row>
    <row r="2929" spans="1:15" x14ac:dyDescent="0.2">
      <c r="A2929" s="567">
        <v>2273</v>
      </c>
      <c r="B2929" s="568" t="s">
        <v>2279</v>
      </c>
      <c r="C2929" s="568" t="s">
        <v>2281</v>
      </c>
      <c r="D2929" s="567">
        <v>6563</v>
      </c>
      <c r="E2929" s="567">
        <v>80</v>
      </c>
      <c r="F2929" s="567">
        <v>14</v>
      </c>
      <c r="G2929" s="567">
        <v>335</v>
      </c>
      <c r="H2929" s="567">
        <v>3151</v>
      </c>
      <c r="O2929"/>
    </row>
    <row r="2930" spans="1:15" x14ac:dyDescent="0.2">
      <c r="A2930" s="567">
        <v>2277</v>
      </c>
      <c r="B2930" s="568" t="s">
        <v>2279</v>
      </c>
      <c r="C2930" s="568" t="s">
        <v>693</v>
      </c>
      <c r="D2930" s="567">
        <v>6567</v>
      </c>
      <c r="E2930" s="567">
        <v>80</v>
      </c>
      <c r="F2930" s="567">
        <v>14</v>
      </c>
      <c r="G2930" s="567">
        <v>335</v>
      </c>
      <c r="H2930" s="567">
        <v>3151</v>
      </c>
      <c r="O2930"/>
    </row>
    <row r="2931" spans="1:15" x14ac:dyDescent="0.2">
      <c r="A2931" s="567">
        <v>2276</v>
      </c>
      <c r="B2931" s="568" t="s">
        <v>2279</v>
      </c>
      <c r="C2931" s="568" t="s">
        <v>2283</v>
      </c>
      <c r="D2931" s="567">
        <v>6566</v>
      </c>
      <c r="E2931" s="567">
        <v>80</v>
      </c>
      <c r="F2931" s="567">
        <v>14</v>
      </c>
      <c r="G2931" s="567">
        <v>335</v>
      </c>
      <c r="H2931" s="567">
        <v>3151</v>
      </c>
      <c r="O2931"/>
    </row>
    <row r="2932" spans="1:15" x14ac:dyDescent="0.2">
      <c r="A2932" s="567">
        <v>2274</v>
      </c>
      <c r="B2932" s="568" t="s">
        <v>2279</v>
      </c>
      <c r="C2932" s="568" t="s">
        <v>609</v>
      </c>
      <c r="D2932" s="567">
        <v>6564</v>
      </c>
      <c r="E2932" s="567">
        <v>80</v>
      </c>
      <c r="F2932" s="567">
        <v>14</v>
      </c>
      <c r="G2932" s="567">
        <v>335</v>
      </c>
      <c r="H2932" s="567">
        <v>3151</v>
      </c>
      <c r="O2932"/>
    </row>
    <row r="2933" spans="1:15" x14ac:dyDescent="0.2">
      <c r="A2933" s="567">
        <v>2275</v>
      </c>
      <c r="B2933" s="568" t="s">
        <v>2279</v>
      </c>
      <c r="C2933" s="568" t="s">
        <v>1074</v>
      </c>
      <c r="D2933" s="567">
        <v>6565</v>
      </c>
      <c r="E2933" s="567">
        <v>80</v>
      </c>
      <c r="F2933" s="567">
        <v>14</v>
      </c>
      <c r="G2933" s="567">
        <v>335</v>
      </c>
      <c r="H2933" s="567">
        <v>3151</v>
      </c>
      <c r="O2933"/>
    </row>
    <row r="2934" spans="1:15" x14ac:dyDescent="0.2">
      <c r="A2934" s="567">
        <v>2271</v>
      </c>
      <c r="B2934" s="568" t="s">
        <v>2279</v>
      </c>
      <c r="C2934" s="568" t="s">
        <v>2286</v>
      </c>
      <c r="D2934" s="567">
        <v>6561</v>
      </c>
      <c r="E2934" s="567">
        <v>80</v>
      </c>
      <c r="F2934" s="567">
        <v>14</v>
      </c>
      <c r="G2934" s="567">
        <v>335</v>
      </c>
      <c r="H2934" s="567">
        <v>3151</v>
      </c>
      <c r="O2934"/>
    </row>
    <row r="2935" spans="1:15" x14ac:dyDescent="0.2">
      <c r="A2935" s="567">
        <v>2278</v>
      </c>
      <c r="B2935" s="568" t="s">
        <v>2279</v>
      </c>
      <c r="C2935" s="568" t="s">
        <v>2028</v>
      </c>
      <c r="D2935" s="567">
        <v>6568</v>
      </c>
      <c r="E2935" s="567">
        <v>80</v>
      </c>
      <c r="F2935" s="567">
        <v>14</v>
      </c>
      <c r="G2935" s="567">
        <v>335</v>
      </c>
      <c r="H2935" s="567">
        <v>3151</v>
      </c>
      <c r="O2935"/>
    </row>
    <row r="2936" spans="1:15" x14ac:dyDescent="0.2">
      <c r="A2936" s="567">
        <v>1845</v>
      </c>
      <c r="B2936" s="568" t="s">
        <v>1854</v>
      </c>
      <c r="C2936" s="568" t="s">
        <v>1853</v>
      </c>
      <c r="D2936" s="567">
        <v>5152</v>
      </c>
      <c r="E2936" s="567">
        <v>43</v>
      </c>
      <c r="F2936" s="567">
        <v>3</v>
      </c>
      <c r="G2936" s="567">
        <v>316</v>
      </c>
      <c r="H2936" s="567">
        <v>3110</v>
      </c>
      <c r="O2936"/>
    </row>
    <row r="2937" spans="1:15" x14ac:dyDescent="0.2">
      <c r="A2937" s="567">
        <v>1844</v>
      </c>
      <c r="B2937" s="568" t="s">
        <v>1854</v>
      </c>
      <c r="C2937" s="568" t="s">
        <v>1855</v>
      </c>
      <c r="D2937" s="567">
        <v>5151</v>
      </c>
      <c r="E2937" s="567">
        <v>43</v>
      </c>
      <c r="F2937" s="567">
        <v>3</v>
      </c>
      <c r="G2937" s="567">
        <v>316</v>
      </c>
      <c r="H2937" s="567">
        <v>3110</v>
      </c>
      <c r="O2937"/>
    </row>
    <row r="2938" spans="1:15" x14ac:dyDescent="0.2">
      <c r="A2938" s="567">
        <v>1843</v>
      </c>
      <c r="B2938" s="568" t="s">
        <v>1854</v>
      </c>
      <c r="C2938" s="568" t="s">
        <v>1854</v>
      </c>
      <c r="D2938" s="567">
        <v>5150</v>
      </c>
      <c r="E2938" s="567">
        <v>43</v>
      </c>
      <c r="F2938" s="567">
        <v>3</v>
      </c>
      <c r="G2938" s="567">
        <v>316</v>
      </c>
      <c r="H2938" s="567">
        <v>3110</v>
      </c>
      <c r="O2938"/>
    </row>
    <row r="2939" spans="1:15" x14ac:dyDescent="0.2">
      <c r="A2939" s="567">
        <v>1846</v>
      </c>
      <c r="B2939" s="568" t="s">
        <v>1854</v>
      </c>
      <c r="C2939" s="568" t="s">
        <v>1859</v>
      </c>
      <c r="D2939" s="567">
        <v>5153</v>
      </c>
      <c r="E2939" s="567">
        <v>43</v>
      </c>
      <c r="F2939" s="567">
        <v>3</v>
      </c>
      <c r="G2939" s="567">
        <v>316</v>
      </c>
      <c r="H2939" s="567">
        <v>3110</v>
      </c>
      <c r="O2939"/>
    </row>
    <row r="2940" spans="1:15" x14ac:dyDescent="0.2">
      <c r="A2940" s="567">
        <v>2059</v>
      </c>
      <c r="B2940" s="568" t="s">
        <v>2364</v>
      </c>
      <c r="C2940" s="568" t="s">
        <v>2364</v>
      </c>
      <c r="D2940" s="567">
        <v>5860</v>
      </c>
      <c r="E2940" s="567">
        <v>58</v>
      </c>
      <c r="F2940" s="567">
        <v>6</v>
      </c>
      <c r="G2940" s="567">
        <v>325</v>
      </c>
      <c r="H2940" s="567">
        <v>3160</v>
      </c>
      <c r="O2940"/>
    </row>
    <row r="2941" spans="1:15" x14ac:dyDescent="0.2">
      <c r="A2941" s="567">
        <v>3380</v>
      </c>
      <c r="B2941" s="568" t="s">
        <v>3155</v>
      </c>
      <c r="C2941" s="568" t="s">
        <v>3155</v>
      </c>
      <c r="D2941" s="567">
        <v>9920</v>
      </c>
      <c r="E2941" s="567">
        <v>57</v>
      </c>
      <c r="F2941" s="567">
        <v>9</v>
      </c>
      <c r="G2941" s="567">
        <v>435</v>
      </c>
      <c r="H2941" s="567">
        <v>4160</v>
      </c>
      <c r="O2941"/>
    </row>
    <row r="2942" spans="1:15" x14ac:dyDescent="0.2">
      <c r="A2942" s="567">
        <v>3381</v>
      </c>
      <c r="B2942" s="568" t="s">
        <v>3155</v>
      </c>
      <c r="C2942" s="568" t="s">
        <v>3156</v>
      </c>
      <c r="D2942" s="567">
        <v>9921</v>
      </c>
      <c r="E2942" s="567">
        <v>57</v>
      </c>
      <c r="F2942" s="567">
        <v>9</v>
      </c>
      <c r="G2942" s="567">
        <v>435</v>
      </c>
      <c r="H2942" s="567">
        <v>4160</v>
      </c>
      <c r="O2942"/>
    </row>
    <row r="2943" spans="1:15" x14ac:dyDescent="0.2">
      <c r="A2943" s="567">
        <v>3382</v>
      </c>
      <c r="B2943" s="568" t="s">
        <v>3155</v>
      </c>
      <c r="C2943" s="568" t="s">
        <v>3157</v>
      </c>
      <c r="D2943" s="567">
        <v>9922</v>
      </c>
      <c r="E2943" s="567">
        <v>57</v>
      </c>
      <c r="F2943" s="567">
        <v>9</v>
      </c>
      <c r="G2943" s="567">
        <v>435</v>
      </c>
      <c r="H2943" s="567">
        <v>4160</v>
      </c>
      <c r="O2943"/>
    </row>
    <row r="2944" spans="1:15" x14ac:dyDescent="0.2">
      <c r="A2944" s="567">
        <v>3037</v>
      </c>
      <c r="B2944" s="568" t="s">
        <v>582</v>
      </c>
      <c r="C2944" s="568" t="s">
        <v>582</v>
      </c>
      <c r="D2944" s="567">
        <v>8735</v>
      </c>
      <c r="E2944" s="567">
        <v>118</v>
      </c>
      <c r="F2944" s="567">
        <v>11</v>
      </c>
      <c r="G2944" s="567">
        <v>426</v>
      </c>
      <c r="H2944" s="567">
        <v>4110</v>
      </c>
      <c r="O2944"/>
    </row>
    <row r="2945" spans="1:15" x14ac:dyDescent="0.2">
      <c r="A2945" s="567">
        <v>1472</v>
      </c>
      <c r="B2945" s="568" t="s">
        <v>1610</v>
      </c>
      <c r="C2945" s="568" t="s">
        <v>1610</v>
      </c>
      <c r="D2945" s="567">
        <v>4050</v>
      </c>
      <c r="E2945" s="567">
        <v>62</v>
      </c>
      <c r="F2945" s="567">
        <v>17</v>
      </c>
      <c r="G2945" s="567">
        <v>236</v>
      </c>
      <c r="H2945" s="567">
        <v>2150</v>
      </c>
      <c r="O2945"/>
    </row>
    <row r="2946" spans="1:15" x14ac:dyDescent="0.2">
      <c r="A2946" s="567">
        <v>1473</v>
      </c>
      <c r="B2946" s="568" t="s">
        <v>1610</v>
      </c>
      <c r="C2946" s="568" t="s">
        <v>1611</v>
      </c>
      <c r="D2946" s="567">
        <v>4051</v>
      </c>
      <c r="E2946" s="567">
        <v>62</v>
      </c>
      <c r="F2946" s="567">
        <v>17</v>
      </c>
      <c r="G2946" s="567">
        <v>236</v>
      </c>
      <c r="H2946" s="567">
        <v>2150</v>
      </c>
      <c r="O2946"/>
    </row>
    <row r="2947" spans="1:15" x14ac:dyDescent="0.2">
      <c r="A2947" s="567">
        <v>1474</v>
      </c>
      <c r="B2947" s="568" t="s">
        <v>1610</v>
      </c>
      <c r="C2947" s="568" t="s">
        <v>1612</v>
      </c>
      <c r="D2947" s="567">
        <v>4052</v>
      </c>
      <c r="E2947" s="567">
        <v>62</v>
      </c>
      <c r="F2947" s="567">
        <v>17</v>
      </c>
      <c r="G2947" s="567">
        <v>236</v>
      </c>
      <c r="H2947" s="567">
        <v>2150</v>
      </c>
      <c r="O2947"/>
    </row>
    <row r="2948" spans="1:15" x14ac:dyDescent="0.2">
      <c r="A2948" s="567">
        <v>1936</v>
      </c>
      <c r="B2948" s="568" t="s">
        <v>1870</v>
      </c>
      <c r="C2948" s="568" t="s">
        <v>1869</v>
      </c>
      <c r="D2948" s="567">
        <v>5470</v>
      </c>
      <c r="E2948" s="567">
        <v>113</v>
      </c>
      <c r="F2948" s="567">
        <v>6</v>
      </c>
      <c r="G2948" s="567">
        <v>315</v>
      </c>
      <c r="H2948" s="567">
        <v>3120</v>
      </c>
      <c r="O2948"/>
    </row>
    <row r="2949" spans="1:15" x14ac:dyDescent="0.2">
      <c r="A2949" s="567">
        <v>1939</v>
      </c>
      <c r="B2949" s="568" t="s">
        <v>1870</v>
      </c>
      <c r="C2949" s="568" t="s">
        <v>1881</v>
      </c>
      <c r="D2949" s="567">
        <v>5473</v>
      </c>
      <c r="E2949" s="567">
        <v>113</v>
      </c>
      <c r="F2949" s="567">
        <v>6</v>
      </c>
      <c r="G2949" s="567">
        <v>315</v>
      </c>
      <c r="H2949" s="567">
        <v>3120</v>
      </c>
      <c r="O2949"/>
    </row>
    <row r="2950" spans="1:15" x14ac:dyDescent="0.2">
      <c r="A2950" s="567">
        <v>1937</v>
      </c>
      <c r="B2950" s="568" t="s">
        <v>1870</v>
      </c>
      <c r="C2950" s="568" t="s">
        <v>174</v>
      </c>
      <c r="D2950" s="567">
        <v>5471</v>
      </c>
      <c r="E2950" s="567">
        <v>113</v>
      </c>
      <c r="F2950" s="567">
        <v>6</v>
      </c>
      <c r="G2950" s="567">
        <v>315</v>
      </c>
      <c r="H2950" s="567">
        <v>3120</v>
      </c>
      <c r="O2950"/>
    </row>
    <row r="2951" spans="1:15" x14ac:dyDescent="0.2">
      <c r="A2951" s="567">
        <v>1938</v>
      </c>
      <c r="B2951" s="568" t="s">
        <v>1870</v>
      </c>
      <c r="C2951" s="568" t="s">
        <v>1903</v>
      </c>
      <c r="D2951" s="567">
        <v>5472</v>
      </c>
      <c r="E2951" s="567">
        <v>113</v>
      </c>
      <c r="F2951" s="567">
        <v>6</v>
      </c>
      <c r="G2951" s="567">
        <v>315</v>
      </c>
      <c r="H2951" s="567">
        <v>3120</v>
      </c>
      <c r="O2951"/>
    </row>
    <row r="2952" spans="1:15" x14ac:dyDescent="0.2">
      <c r="A2952" s="567">
        <v>1941</v>
      </c>
      <c r="B2952" s="568" t="s">
        <v>1870</v>
      </c>
      <c r="C2952" s="568" t="s">
        <v>1910</v>
      </c>
      <c r="D2952" s="567">
        <v>5475</v>
      </c>
      <c r="E2952" s="567">
        <v>113</v>
      </c>
      <c r="F2952" s="567">
        <v>6</v>
      </c>
      <c r="G2952" s="567">
        <v>315</v>
      </c>
      <c r="H2952" s="567">
        <v>3120</v>
      </c>
      <c r="O2952"/>
    </row>
    <row r="2953" spans="1:15" x14ac:dyDescent="0.2">
      <c r="A2953" s="567">
        <v>1940</v>
      </c>
      <c r="B2953" s="568" t="s">
        <v>1870</v>
      </c>
      <c r="C2953" s="568" t="s">
        <v>1911</v>
      </c>
      <c r="D2953" s="567">
        <v>5474</v>
      </c>
      <c r="E2953" s="567">
        <v>113</v>
      </c>
      <c r="F2953" s="567">
        <v>6</v>
      </c>
      <c r="G2953" s="567">
        <v>315</v>
      </c>
      <c r="H2953" s="567">
        <v>3120</v>
      </c>
      <c r="O2953"/>
    </row>
    <row r="2954" spans="1:15" x14ac:dyDescent="0.2">
      <c r="A2954" s="567">
        <v>2369</v>
      </c>
      <c r="B2954" s="568" t="s">
        <v>2583</v>
      </c>
      <c r="C2954" s="568" t="s">
        <v>2583</v>
      </c>
      <c r="D2954" s="567">
        <v>6815</v>
      </c>
      <c r="E2954" s="567">
        <v>108</v>
      </c>
      <c r="F2954" s="567">
        <v>6</v>
      </c>
      <c r="G2954" s="567">
        <v>337</v>
      </c>
      <c r="H2954" s="567">
        <v>3180</v>
      </c>
      <c r="O2954"/>
    </row>
    <row r="2955" spans="1:15" x14ac:dyDescent="0.2">
      <c r="A2955" s="567">
        <v>2477</v>
      </c>
      <c r="B2955" s="568" t="s">
        <v>2081</v>
      </c>
      <c r="C2955" s="568" t="s">
        <v>2080</v>
      </c>
      <c r="D2955" s="567">
        <v>7086</v>
      </c>
      <c r="E2955" s="567">
        <v>87</v>
      </c>
      <c r="F2955" s="567">
        <v>6</v>
      </c>
      <c r="G2955" s="567">
        <v>336</v>
      </c>
      <c r="H2955" s="567">
        <v>3130</v>
      </c>
      <c r="O2955"/>
    </row>
    <row r="2956" spans="1:15" x14ac:dyDescent="0.2">
      <c r="A2956" s="567">
        <v>2476</v>
      </c>
      <c r="B2956" s="568" t="s">
        <v>2081</v>
      </c>
      <c r="C2956" s="568" t="s">
        <v>2082</v>
      </c>
      <c r="D2956" s="567">
        <v>7085</v>
      </c>
      <c r="E2956" s="567">
        <v>87</v>
      </c>
      <c r="F2956" s="567">
        <v>6</v>
      </c>
      <c r="G2956" s="567">
        <v>336</v>
      </c>
      <c r="H2956" s="567">
        <v>3130</v>
      </c>
      <c r="O2956"/>
    </row>
    <row r="2957" spans="1:15" x14ac:dyDescent="0.2">
      <c r="A2957" s="567">
        <v>2475</v>
      </c>
      <c r="B2957" s="568" t="s">
        <v>2081</v>
      </c>
      <c r="C2957" s="568" t="s">
        <v>2083</v>
      </c>
      <c r="D2957" s="567">
        <v>7084</v>
      </c>
      <c r="E2957" s="567">
        <v>87</v>
      </c>
      <c r="F2957" s="567">
        <v>6</v>
      </c>
      <c r="G2957" s="567">
        <v>336</v>
      </c>
      <c r="H2957" s="567">
        <v>3130</v>
      </c>
      <c r="O2957"/>
    </row>
    <row r="2958" spans="1:15" x14ac:dyDescent="0.2">
      <c r="A2958" s="567">
        <v>2474</v>
      </c>
      <c r="B2958" s="568" t="s">
        <v>2081</v>
      </c>
      <c r="C2958" s="568" t="s">
        <v>2084</v>
      </c>
      <c r="D2958" s="567">
        <v>7083</v>
      </c>
      <c r="E2958" s="567">
        <v>87</v>
      </c>
      <c r="F2958" s="567">
        <v>6</v>
      </c>
      <c r="G2958" s="567">
        <v>336</v>
      </c>
      <c r="H2958" s="567">
        <v>3130</v>
      </c>
      <c r="O2958"/>
    </row>
    <row r="2959" spans="1:15" x14ac:dyDescent="0.2">
      <c r="A2959" s="567">
        <v>2473</v>
      </c>
      <c r="B2959" s="568" t="s">
        <v>2081</v>
      </c>
      <c r="C2959" s="568" t="s">
        <v>2085</v>
      </c>
      <c r="D2959" s="567">
        <v>7082</v>
      </c>
      <c r="E2959" s="567">
        <v>87</v>
      </c>
      <c r="F2959" s="567">
        <v>6</v>
      </c>
      <c r="G2959" s="567">
        <v>336</v>
      </c>
      <c r="H2959" s="567">
        <v>3130</v>
      </c>
      <c r="O2959"/>
    </row>
    <row r="2960" spans="1:15" x14ac:dyDescent="0.2">
      <c r="A2960" s="567">
        <v>2472</v>
      </c>
      <c r="B2960" s="568" t="s">
        <v>2081</v>
      </c>
      <c r="C2960" s="568" t="s">
        <v>2086</v>
      </c>
      <c r="D2960" s="567">
        <v>7081</v>
      </c>
      <c r="E2960" s="567">
        <v>87</v>
      </c>
      <c r="F2960" s="567">
        <v>6</v>
      </c>
      <c r="G2960" s="567">
        <v>336</v>
      </c>
      <c r="H2960" s="567">
        <v>3130</v>
      </c>
      <c r="O2960"/>
    </row>
    <row r="2961" spans="1:15" x14ac:dyDescent="0.2">
      <c r="A2961" s="567">
        <v>2471</v>
      </c>
      <c r="B2961" s="568" t="s">
        <v>2081</v>
      </c>
      <c r="C2961" s="568" t="s">
        <v>2081</v>
      </c>
      <c r="D2961" s="567">
        <v>7080</v>
      </c>
      <c r="E2961" s="567">
        <v>87</v>
      </c>
      <c r="F2961" s="567">
        <v>6</v>
      </c>
      <c r="G2961" s="567">
        <v>336</v>
      </c>
      <c r="H2961" s="567">
        <v>3130</v>
      </c>
      <c r="O2961"/>
    </row>
    <row r="2962" spans="1:15" x14ac:dyDescent="0.2">
      <c r="A2962" s="567">
        <v>2090</v>
      </c>
      <c r="B2962" s="568" t="s">
        <v>1758</v>
      </c>
      <c r="C2962" s="568" t="s">
        <v>1757</v>
      </c>
      <c r="D2962" s="567">
        <v>5980</v>
      </c>
      <c r="E2962" s="567">
        <v>60</v>
      </c>
      <c r="F2962" s="567">
        <v>6</v>
      </c>
      <c r="G2962" s="567">
        <v>326</v>
      </c>
      <c r="H2962" s="567">
        <v>3100</v>
      </c>
      <c r="O2962"/>
    </row>
    <row r="2963" spans="1:15" x14ac:dyDescent="0.2">
      <c r="A2963" s="567">
        <v>2091</v>
      </c>
      <c r="B2963" s="568" t="s">
        <v>1758</v>
      </c>
      <c r="C2963" s="568" t="s">
        <v>1759</v>
      </c>
      <c r="D2963" s="567">
        <v>5981</v>
      </c>
      <c r="E2963" s="567">
        <v>60</v>
      </c>
      <c r="F2963" s="567">
        <v>6</v>
      </c>
      <c r="G2963" s="567">
        <v>326</v>
      </c>
      <c r="H2963" s="567">
        <v>3100</v>
      </c>
      <c r="O2963"/>
    </row>
    <row r="2964" spans="1:15" x14ac:dyDescent="0.2">
      <c r="A2964" s="567">
        <v>2092</v>
      </c>
      <c r="B2964" s="568" t="s">
        <v>1758</v>
      </c>
      <c r="C2964" s="568" t="s">
        <v>1784</v>
      </c>
      <c r="D2964" s="567">
        <v>5982</v>
      </c>
      <c r="E2964" s="567">
        <v>60</v>
      </c>
      <c r="F2964" s="567">
        <v>6</v>
      </c>
      <c r="G2964" s="567">
        <v>326</v>
      </c>
      <c r="H2964" s="567">
        <v>3100</v>
      </c>
      <c r="O2964"/>
    </row>
    <row r="2965" spans="1:15" x14ac:dyDescent="0.2">
      <c r="A2965" s="567">
        <v>2713</v>
      </c>
      <c r="B2965" s="568" t="s">
        <v>152</v>
      </c>
      <c r="C2965" s="568" t="s">
        <v>2937</v>
      </c>
      <c r="D2965" s="567">
        <v>7803</v>
      </c>
      <c r="E2965" s="567">
        <v>73</v>
      </c>
      <c r="F2965" s="567">
        <v>14</v>
      </c>
      <c r="G2965" s="567">
        <v>415</v>
      </c>
      <c r="H2965" s="567">
        <v>4131</v>
      </c>
      <c r="O2965"/>
    </row>
    <row r="2966" spans="1:15" x14ac:dyDescent="0.2">
      <c r="A2966" s="567">
        <v>2710</v>
      </c>
      <c r="B2966" s="568" t="s">
        <v>152</v>
      </c>
      <c r="C2966" s="568" t="s">
        <v>152</v>
      </c>
      <c r="D2966" s="567">
        <v>7800</v>
      </c>
      <c r="E2966" s="567">
        <v>73</v>
      </c>
      <c r="F2966" s="567">
        <v>14</v>
      </c>
      <c r="G2966" s="567">
        <v>415</v>
      </c>
      <c r="H2966" s="567">
        <v>4131</v>
      </c>
      <c r="O2966"/>
    </row>
    <row r="2967" spans="1:15" x14ac:dyDescent="0.2">
      <c r="A2967" s="567">
        <v>2712</v>
      </c>
      <c r="B2967" s="568" t="s">
        <v>152</v>
      </c>
      <c r="C2967" s="568" t="s">
        <v>2943</v>
      </c>
      <c r="D2967" s="567">
        <v>7802</v>
      </c>
      <c r="E2967" s="567">
        <v>73</v>
      </c>
      <c r="F2967" s="567">
        <v>14</v>
      </c>
      <c r="G2967" s="567">
        <v>415</v>
      </c>
      <c r="H2967" s="567">
        <v>4131</v>
      </c>
      <c r="O2967"/>
    </row>
    <row r="2968" spans="1:15" x14ac:dyDescent="0.2">
      <c r="A2968" s="567">
        <v>2714</v>
      </c>
      <c r="B2968" s="568" t="s">
        <v>152</v>
      </c>
      <c r="C2968" s="568" t="s">
        <v>2945</v>
      </c>
      <c r="D2968" s="567">
        <v>7804</v>
      </c>
      <c r="E2968" s="567">
        <v>73</v>
      </c>
      <c r="F2968" s="567">
        <v>14</v>
      </c>
      <c r="G2968" s="567">
        <v>415</v>
      </c>
      <c r="H2968" s="567">
        <v>4131</v>
      </c>
      <c r="O2968"/>
    </row>
    <row r="2969" spans="1:15" x14ac:dyDescent="0.2">
      <c r="A2969" s="567">
        <v>2711</v>
      </c>
      <c r="B2969" s="568" t="s">
        <v>152</v>
      </c>
      <c r="C2969" s="568" t="s">
        <v>430</v>
      </c>
      <c r="D2969" s="567">
        <v>7801</v>
      </c>
      <c r="E2969" s="567">
        <v>73</v>
      </c>
      <c r="F2969" s="567">
        <v>14</v>
      </c>
      <c r="G2969" s="567">
        <v>415</v>
      </c>
      <c r="H2969" s="567">
        <v>4131</v>
      </c>
      <c r="O2969"/>
    </row>
    <row r="2970" spans="1:15" x14ac:dyDescent="0.2">
      <c r="A2970" s="567">
        <v>2191</v>
      </c>
      <c r="B2970" s="568" t="s">
        <v>2460</v>
      </c>
      <c r="C2970" s="568" t="s">
        <v>2459</v>
      </c>
      <c r="D2970" s="567">
        <v>6301</v>
      </c>
      <c r="E2970" s="567">
        <v>49</v>
      </c>
      <c r="F2970" s="567">
        <v>8</v>
      </c>
      <c r="G2970" s="567">
        <v>327</v>
      </c>
      <c r="H2970" s="567">
        <v>3170</v>
      </c>
      <c r="O2970"/>
    </row>
    <row r="2971" spans="1:15" x14ac:dyDescent="0.2">
      <c r="A2971" s="567">
        <v>2190</v>
      </c>
      <c r="B2971" s="568" t="s">
        <v>2460</v>
      </c>
      <c r="C2971" s="568" t="s">
        <v>2460</v>
      </c>
      <c r="D2971" s="567">
        <v>6300</v>
      </c>
      <c r="E2971" s="567">
        <v>49</v>
      </c>
      <c r="F2971" s="567">
        <v>8</v>
      </c>
      <c r="G2971" s="567">
        <v>327</v>
      </c>
      <c r="H2971" s="567">
        <v>3170</v>
      </c>
      <c r="O2971"/>
    </row>
    <row r="2972" spans="1:15" x14ac:dyDescent="0.2">
      <c r="A2972" s="567">
        <v>2592</v>
      </c>
      <c r="B2972" s="568" t="s">
        <v>2967</v>
      </c>
      <c r="C2972" s="568" t="s">
        <v>1660</v>
      </c>
      <c r="D2972" s="567">
        <v>7458</v>
      </c>
      <c r="E2972" s="567">
        <v>41</v>
      </c>
      <c r="F2972" s="567">
        <v>2</v>
      </c>
      <c r="G2972" s="567">
        <v>416</v>
      </c>
      <c r="H2972" s="567">
        <v>4140</v>
      </c>
      <c r="O2972"/>
    </row>
    <row r="2973" spans="1:15" x14ac:dyDescent="0.2">
      <c r="A2973" s="567">
        <v>2593</v>
      </c>
      <c r="B2973" s="568" t="s">
        <v>2967</v>
      </c>
      <c r="C2973" s="568" t="s">
        <v>2968</v>
      </c>
      <c r="D2973" s="567">
        <v>7459</v>
      </c>
      <c r="E2973" s="567">
        <v>41</v>
      </c>
      <c r="F2973" s="567">
        <v>2</v>
      </c>
      <c r="G2973" s="567">
        <v>416</v>
      </c>
      <c r="H2973" s="567">
        <v>4140</v>
      </c>
      <c r="O2973"/>
    </row>
    <row r="2974" spans="1:15" x14ac:dyDescent="0.2">
      <c r="A2974" s="567">
        <v>2594</v>
      </c>
      <c r="B2974" s="568" t="s">
        <v>2967</v>
      </c>
      <c r="C2974" s="568" t="s">
        <v>824</v>
      </c>
      <c r="D2974" s="567">
        <v>7460</v>
      </c>
      <c r="E2974" s="567">
        <v>41</v>
      </c>
      <c r="F2974" s="567">
        <v>2</v>
      </c>
      <c r="G2974" s="567">
        <v>416</v>
      </c>
      <c r="H2974" s="567">
        <v>4140</v>
      </c>
      <c r="O2974"/>
    </row>
    <row r="2975" spans="1:15" x14ac:dyDescent="0.2">
      <c r="A2975" s="567">
        <v>2591</v>
      </c>
      <c r="B2975" s="568" t="s">
        <v>2967</v>
      </c>
      <c r="C2975" s="568" t="s">
        <v>2974</v>
      </c>
      <c r="D2975" s="567">
        <v>7457</v>
      </c>
      <c r="E2975" s="567">
        <v>41</v>
      </c>
      <c r="F2975" s="567">
        <v>2</v>
      </c>
      <c r="G2975" s="567">
        <v>416</v>
      </c>
      <c r="H2975" s="567">
        <v>4140</v>
      </c>
      <c r="O2975"/>
    </row>
    <row r="2976" spans="1:15" x14ac:dyDescent="0.2">
      <c r="A2976" s="567">
        <v>2584</v>
      </c>
      <c r="B2976" s="568" t="s">
        <v>2967</v>
      </c>
      <c r="C2976" s="568" t="s">
        <v>2967</v>
      </c>
      <c r="D2976" s="567">
        <v>7450</v>
      </c>
      <c r="E2976" s="567">
        <v>41</v>
      </c>
      <c r="F2976" s="567">
        <v>2</v>
      </c>
      <c r="G2976" s="567">
        <v>416</v>
      </c>
      <c r="H2976" s="567">
        <v>4140</v>
      </c>
      <c r="O2976"/>
    </row>
    <row r="2977" spans="1:15" x14ac:dyDescent="0.2">
      <c r="A2977" s="567">
        <v>2590</v>
      </c>
      <c r="B2977" s="568" t="s">
        <v>2967</v>
      </c>
      <c r="C2977" s="568" t="s">
        <v>2985</v>
      </c>
      <c r="D2977" s="567">
        <v>7456</v>
      </c>
      <c r="E2977" s="567">
        <v>41</v>
      </c>
      <c r="F2977" s="567">
        <v>2</v>
      </c>
      <c r="G2977" s="567">
        <v>416</v>
      </c>
      <c r="H2977" s="567">
        <v>4140</v>
      </c>
      <c r="O2977"/>
    </row>
    <row r="2978" spans="1:15" x14ac:dyDescent="0.2">
      <c r="A2978" s="567">
        <v>2585</v>
      </c>
      <c r="B2978" s="568" t="s">
        <v>2967</v>
      </c>
      <c r="C2978" s="568" t="s">
        <v>2987</v>
      </c>
      <c r="D2978" s="567">
        <v>7451</v>
      </c>
      <c r="E2978" s="567">
        <v>41</v>
      </c>
      <c r="F2978" s="567">
        <v>2</v>
      </c>
      <c r="G2978" s="567">
        <v>416</v>
      </c>
      <c r="H2978" s="567">
        <v>4140</v>
      </c>
      <c r="O2978"/>
    </row>
    <row r="2979" spans="1:15" x14ac:dyDescent="0.2">
      <c r="A2979" s="567">
        <v>2586</v>
      </c>
      <c r="B2979" s="568" t="s">
        <v>2967</v>
      </c>
      <c r="C2979" s="568" t="s">
        <v>1104</v>
      </c>
      <c r="D2979" s="567">
        <v>7452</v>
      </c>
      <c r="E2979" s="567">
        <v>41</v>
      </c>
      <c r="F2979" s="567">
        <v>2</v>
      </c>
      <c r="G2979" s="567">
        <v>416</v>
      </c>
      <c r="H2979" s="567">
        <v>4140</v>
      </c>
      <c r="O2979"/>
    </row>
    <row r="2980" spans="1:15" x14ac:dyDescent="0.2">
      <c r="A2980" s="567">
        <v>2587</v>
      </c>
      <c r="B2980" s="568" t="s">
        <v>2967</v>
      </c>
      <c r="C2980" s="568" t="s">
        <v>2988</v>
      </c>
      <c r="D2980" s="567">
        <v>7453</v>
      </c>
      <c r="E2980" s="567">
        <v>41</v>
      </c>
      <c r="F2980" s="567">
        <v>2</v>
      </c>
      <c r="G2980" s="567">
        <v>416</v>
      </c>
      <c r="H2980" s="567">
        <v>4140</v>
      </c>
      <c r="O2980"/>
    </row>
    <row r="2981" spans="1:15" x14ac:dyDescent="0.2">
      <c r="A2981" s="567">
        <v>2588</v>
      </c>
      <c r="B2981" s="568" t="s">
        <v>2967</v>
      </c>
      <c r="C2981" s="568" t="s">
        <v>2989</v>
      </c>
      <c r="D2981" s="567">
        <v>7454</v>
      </c>
      <c r="E2981" s="567">
        <v>41</v>
      </c>
      <c r="F2981" s="567">
        <v>2</v>
      </c>
      <c r="G2981" s="567">
        <v>416</v>
      </c>
      <c r="H2981" s="567">
        <v>4140</v>
      </c>
      <c r="O2981"/>
    </row>
    <row r="2982" spans="1:15" x14ac:dyDescent="0.2">
      <c r="A2982" s="567">
        <v>2589</v>
      </c>
      <c r="B2982" s="568" t="s">
        <v>2967</v>
      </c>
      <c r="C2982" s="568" t="s">
        <v>2990</v>
      </c>
      <c r="D2982" s="567">
        <v>7455</v>
      </c>
      <c r="E2982" s="567">
        <v>41</v>
      </c>
      <c r="F2982" s="567">
        <v>2</v>
      </c>
      <c r="G2982" s="567">
        <v>416</v>
      </c>
      <c r="H2982" s="567">
        <v>4140</v>
      </c>
      <c r="O2982"/>
    </row>
    <row r="2983" spans="1:15" x14ac:dyDescent="0.2">
      <c r="A2983" s="567">
        <v>2484</v>
      </c>
      <c r="B2983" s="568" t="s">
        <v>2073</v>
      </c>
      <c r="C2983" s="568" t="s">
        <v>2073</v>
      </c>
      <c r="D2983" s="567">
        <v>7125</v>
      </c>
      <c r="E2983" s="567">
        <v>89</v>
      </c>
      <c r="F2983" s="567">
        <v>6</v>
      </c>
      <c r="G2983" s="567">
        <v>336</v>
      </c>
      <c r="H2983" s="567">
        <v>3130</v>
      </c>
      <c r="O2983"/>
    </row>
    <row r="2984" spans="1:15" x14ac:dyDescent="0.2">
      <c r="A2984" s="567">
        <v>2124</v>
      </c>
      <c r="B2984" s="568" t="s">
        <v>1783</v>
      </c>
      <c r="C2984" s="568" t="s">
        <v>1783</v>
      </c>
      <c r="D2984" s="567">
        <v>6080</v>
      </c>
      <c r="E2984" s="567">
        <v>61</v>
      </c>
      <c r="F2984" s="567">
        <v>8</v>
      </c>
      <c r="G2984" s="567">
        <v>326</v>
      </c>
      <c r="H2984" s="567">
        <v>3100</v>
      </c>
      <c r="O2984"/>
    </row>
    <row r="2985" spans="1:15" x14ac:dyDescent="0.2">
      <c r="A2985" s="567">
        <v>2211</v>
      </c>
      <c r="B2985" s="568" t="s">
        <v>2432</v>
      </c>
      <c r="C2985" s="568" t="s">
        <v>2431</v>
      </c>
      <c r="D2985" s="567">
        <v>6403</v>
      </c>
      <c r="E2985" s="567">
        <v>50</v>
      </c>
      <c r="F2985" s="567">
        <v>14</v>
      </c>
      <c r="G2985" s="567">
        <v>327</v>
      </c>
      <c r="H2985" s="567">
        <v>3170</v>
      </c>
      <c r="O2985"/>
    </row>
    <row r="2986" spans="1:15" x14ac:dyDescent="0.2">
      <c r="A2986" s="567">
        <v>2210</v>
      </c>
      <c r="B2986" s="568" t="s">
        <v>2432</v>
      </c>
      <c r="C2986" s="568" t="s">
        <v>704</v>
      </c>
      <c r="D2986" s="567">
        <v>6402</v>
      </c>
      <c r="E2986" s="567">
        <v>50</v>
      </c>
      <c r="F2986" s="567">
        <v>14</v>
      </c>
      <c r="G2986" s="567">
        <v>327</v>
      </c>
      <c r="H2986" s="567">
        <v>3170</v>
      </c>
      <c r="O2986"/>
    </row>
    <row r="2987" spans="1:15" x14ac:dyDescent="0.2">
      <c r="A2987" s="567">
        <v>2209</v>
      </c>
      <c r="B2987" s="568" t="s">
        <v>2432</v>
      </c>
      <c r="C2987" s="568" t="s">
        <v>2433</v>
      </c>
      <c r="D2987" s="567">
        <v>6401</v>
      </c>
      <c r="E2987" s="567">
        <v>50</v>
      </c>
      <c r="F2987" s="567">
        <v>14</v>
      </c>
      <c r="G2987" s="567">
        <v>327</v>
      </c>
      <c r="H2987" s="567">
        <v>3170</v>
      </c>
      <c r="O2987"/>
    </row>
    <row r="2988" spans="1:15" x14ac:dyDescent="0.2">
      <c r="A2988" s="567">
        <v>2208</v>
      </c>
      <c r="B2988" s="568" t="s">
        <v>2432</v>
      </c>
      <c r="C2988" s="568" t="s">
        <v>2432</v>
      </c>
      <c r="D2988" s="567">
        <v>6400</v>
      </c>
      <c r="E2988" s="567">
        <v>50</v>
      </c>
      <c r="F2988" s="567">
        <v>14</v>
      </c>
      <c r="G2988" s="567">
        <v>327</v>
      </c>
      <c r="H2988" s="567">
        <v>3170</v>
      </c>
      <c r="O2988"/>
    </row>
    <row r="2989" spans="1:15" x14ac:dyDescent="0.2">
      <c r="A2989" s="567">
        <v>3327</v>
      </c>
      <c r="B2989" s="568" t="s">
        <v>2350</v>
      </c>
      <c r="C2989" s="568" t="s">
        <v>3131</v>
      </c>
      <c r="D2989" s="567">
        <v>9721</v>
      </c>
      <c r="E2989" s="567">
        <v>59</v>
      </c>
      <c r="F2989" s="567">
        <v>4</v>
      </c>
      <c r="G2989" s="567">
        <v>435</v>
      </c>
      <c r="H2989" s="567">
        <v>4160</v>
      </c>
      <c r="O2989"/>
    </row>
    <row r="2990" spans="1:15" x14ac:dyDescent="0.2">
      <c r="A2990" s="567">
        <v>3326</v>
      </c>
      <c r="B2990" s="568" t="s">
        <v>2350</v>
      </c>
      <c r="C2990" s="568" t="s">
        <v>2350</v>
      </c>
      <c r="D2990" s="567">
        <v>9720</v>
      </c>
      <c r="E2990" s="567">
        <v>59</v>
      </c>
      <c r="F2990" s="567">
        <v>4</v>
      </c>
      <c r="G2990" s="567">
        <v>435</v>
      </c>
      <c r="H2990" s="567">
        <v>4160</v>
      </c>
      <c r="O2990"/>
    </row>
    <row r="2991" spans="1:15" x14ac:dyDescent="0.2">
      <c r="A2991" s="567">
        <v>3328</v>
      </c>
      <c r="B2991" s="568" t="s">
        <v>2350</v>
      </c>
      <c r="C2991" s="568" t="s">
        <v>2557</v>
      </c>
      <c r="D2991" s="567">
        <v>9722</v>
      </c>
      <c r="E2991" s="567">
        <v>59</v>
      </c>
      <c r="F2991" s="567">
        <v>4</v>
      </c>
      <c r="G2991" s="567">
        <v>435</v>
      </c>
      <c r="H2991" s="567">
        <v>4160</v>
      </c>
      <c r="O2991"/>
    </row>
    <row r="2992" spans="1:15" x14ac:dyDescent="0.2">
      <c r="A2992" s="567">
        <v>3329</v>
      </c>
      <c r="B2992" s="568" t="s">
        <v>2350</v>
      </c>
      <c r="C2992" s="568" t="s">
        <v>3137</v>
      </c>
      <c r="D2992" s="567">
        <v>9723</v>
      </c>
      <c r="E2992" s="567">
        <v>59</v>
      </c>
      <c r="F2992" s="567">
        <v>4</v>
      </c>
      <c r="G2992" s="567">
        <v>435</v>
      </c>
      <c r="H2992" s="567">
        <v>4160</v>
      </c>
      <c r="O2992"/>
    </row>
    <row r="2993" spans="1:15" x14ac:dyDescent="0.2">
      <c r="A2993" s="567">
        <v>3330</v>
      </c>
      <c r="B2993" s="568" t="s">
        <v>2350</v>
      </c>
      <c r="C2993" s="568" t="s">
        <v>3138</v>
      </c>
      <c r="D2993" s="567">
        <v>9724</v>
      </c>
      <c r="E2993" s="567">
        <v>59</v>
      </c>
      <c r="F2993" s="567">
        <v>4</v>
      </c>
      <c r="G2993" s="567">
        <v>435</v>
      </c>
      <c r="H2993" s="567">
        <v>4160</v>
      </c>
      <c r="O2993"/>
    </row>
    <row r="2994" spans="1:15" x14ac:dyDescent="0.2">
      <c r="A2994" s="567">
        <v>3331</v>
      </c>
      <c r="B2994" s="568" t="s">
        <v>2350</v>
      </c>
      <c r="C2994" s="568" t="s">
        <v>3139</v>
      </c>
      <c r="D2994" s="567">
        <v>9725</v>
      </c>
      <c r="E2994" s="567">
        <v>59</v>
      </c>
      <c r="F2994" s="567">
        <v>4</v>
      </c>
      <c r="G2994" s="567">
        <v>435</v>
      </c>
      <c r="H2994" s="567">
        <v>4160</v>
      </c>
      <c r="O2994"/>
    </row>
    <row r="2995" spans="1:15" x14ac:dyDescent="0.2">
      <c r="A2995" s="567">
        <v>3332</v>
      </c>
      <c r="B2995" s="568" t="s">
        <v>2350</v>
      </c>
      <c r="C2995" s="568" t="s">
        <v>3140</v>
      </c>
      <c r="D2995" s="567">
        <v>9726</v>
      </c>
      <c r="E2995" s="567">
        <v>59</v>
      </c>
      <c r="F2995" s="567">
        <v>4</v>
      </c>
      <c r="G2995" s="567">
        <v>435</v>
      </c>
      <c r="H2995" s="567">
        <v>4160</v>
      </c>
      <c r="O2995"/>
    </row>
    <row r="2996" spans="1:15" x14ac:dyDescent="0.2">
      <c r="A2996" s="567">
        <v>3333</v>
      </c>
      <c r="B2996" s="568" t="s">
        <v>2350</v>
      </c>
      <c r="C2996" s="568" t="s">
        <v>3141</v>
      </c>
      <c r="D2996" s="567">
        <v>9727</v>
      </c>
      <c r="E2996" s="567">
        <v>59</v>
      </c>
      <c r="F2996" s="567">
        <v>4</v>
      </c>
      <c r="G2996" s="567">
        <v>435</v>
      </c>
      <c r="H2996" s="567">
        <v>4160</v>
      </c>
      <c r="O2996"/>
    </row>
    <row r="2997" spans="1:15" x14ac:dyDescent="0.2">
      <c r="A2997" s="567">
        <v>1252</v>
      </c>
      <c r="B2997" s="568" t="s">
        <v>1293</v>
      </c>
      <c r="C2997" s="568" t="s">
        <v>1292</v>
      </c>
      <c r="D2997" s="567">
        <v>3390</v>
      </c>
      <c r="E2997" s="567">
        <v>84</v>
      </c>
      <c r="F2997" s="567">
        <v>2</v>
      </c>
      <c r="G2997" s="567">
        <v>215</v>
      </c>
      <c r="H2997" s="567">
        <v>2121</v>
      </c>
      <c r="O2997"/>
    </row>
    <row r="2998" spans="1:15" x14ac:dyDescent="0.2">
      <c r="A2998" s="567">
        <v>1253</v>
      </c>
      <c r="B2998" s="568" t="s">
        <v>1293</v>
      </c>
      <c r="C2998" s="568" t="s">
        <v>1294</v>
      </c>
      <c r="D2998" s="567">
        <v>3391</v>
      </c>
      <c r="E2998" s="567">
        <v>84</v>
      </c>
      <c r="F2998" s="567">
        <v>2</v>
      </c>
      <c r="G2998" s="567">
        <v>215</v>
      </c>
      <c r="H2998" s="567">
        <v>2121</v>
      </c>
      <c r="O2998"/>
    </row>
    <row r="2999" spans="1:15" x14ac:dyDescent="0.2">
      <c r="A2999" s="567">
        <v>1254</v>
      </c>
      <c r="B2999" s="568" t="s">
        <v>1293</v>
      </c>
      <c r="C2999" s="568" t="s">
        <v>1295</v>
      </c>
      <c r="D2999" s="567">
        <v>3392</v>
      </c>
      <c r="E2999" s="567">
        <v>84</v>
      </c>
      <c r="F2999" s="567">
        <v>2</v>
      </c>
      <c r="G2999" s="567">
        <v>215</v>
      </c>
      <c r="H2999" s="567">
        <v>2121</v>
      </c>
      <c r="O2999"/>
    </row>
    <row r="3000" spans="1:15" x14ac:dyDescent="0.2">
      <c r="A3000" s="567">
        <v>1255</v>
      </c>
      <c r="B3000" s="568" t="s">
        <v>1293</v>
      </c>
      <c r="C3000" s="568" t="s">
        <v>1296</v>
      </c>
      <c r="D3000" s="567">
        <v>3393</v>
      </c>
      <c r="E3000" s="567">
        <v>84</v>
      </c>
      <c r="F3000" s="567">
        <v>2</v>
      </c>
      <c r="G3000" s="567">
        <v>215</v>
      </c>
      <c r="H3000" s="567">
        <v>2121</v>
      </c>
      <c r="O3000"/>
    </row>
    <row r="3001" spans="1:15" x14ac:dyDescent="0.2">
      <c r="A3001" s="567">
        <v>821</v>
      </c>
      <c r="B3001" s="568" t="s">
        <v>414</v>
      </c>
      <c r="C3001" s="568" t="s">
        <v>413</v>
      </c>
      <c r="D3001" s="567">
        <v>2028</v>
      </c>
      <c r="E3001" s="567">
        <v>51</v>
      </c>
      <c r="F3001" s="567">
        <v>18</v>
      </c>
      <c r="G3001" s="567">
        <v>117</v>
      </c>
      <c r="H3001" s="567">
        <v>1130</v>
      </c>
      <c r="O3001"/>
    </row>
    <row r="3002" spans="1:15" x14ac:dyDescent="0.2">
      <c r="A3002" s="567">
        <v>820</v>
      </c>
      <c r="B3002" s="568" t="s">
        <v>414</v>
      </c>
      <c r="C3002" s="568" t="s">
        <v>415</v>
      </c>
      <c r="D3002" s="567">
        <v>2027</v>
      </c>
      <c r="E3002" s="567">
        <v>51</v>
      </c>
      <c r="F3002" s="567">
        <v>18</v>
      </c>
      <c r="G3002" s="567">
        <v>117</v>
      </c>
      <c r="H3002" s="567">
        <v>1130</v>
      </c>
      <c r="O3002"/>
    </row>
    <row r="3003" spans="1:15" x14ac:dyDescent="0.2">
      <c r="A3003" s="567">
        <v>819</v>
      </c>
      <c r="B3003" s="568" t="s">
        <v>414</v>
      </c>
      <c r="C3003" s="568" t="s">
        <v>416</v>
      </c>
      <c r="D3003" s="567">
        <v>2026</v>
      </c>
      <c r="E3003" s="567">
        <v>51</v>
      </c>
      <c r="F3003" s="567">
        <v>18</v>
      </c>
      <c r="G3003" s="567">
        <v>117</v>
      </c>
      <c r="H3003" s="567">
        <v>1130</v>
      </c>
      <c r="O3003"/>
    </row>
    <row r="3004" spans="1:15" x14ac:dyDescent="0.2">
      <c r="A3004" s="567">
        <v>818</v>
      </c>
      <c r="B3004" s="568" t="s">
        <v>414</v>
      </c>
      <c r="C3004" s="568" t="s">
        <v>414</v>
      </c>
      <c r="D3004" s="567">
        <v>2025</v>
      </c>
      <c r="E3004" s="567">
        <v>51</v>
      </c>
      <c r="F3004" s="567">
        <v>18</v>
      </c>
      <c r="G3004" s="567">
        <v>117</v>
      </c>
      <c r="H3004" s="567">
        <v>1130</v>
      </c>
      <c r="O3004"/>
    </row>
    <row r="3005" spans="1:15" x14ac:dyDescent="0.2">
      <c r="A3005" s="567">
        <v>3363</v>
      </c>
      <c r="B3005" s="568" t="s">
        <v>3173</v>
      </c>
      <c r="C3005" s="568" t="s">
        <v>3172</v>
      </c>
      <c r="D3005" s="567">
        <v>9830</v>
      </c>
      <c r="E3005" s="567">
        <v>66</v>
      </c>
      <c r="F3005" s="567">
        <v>4</v>
      </c>
      <c r="G3005" s="567">
        <v>435</v>
      </c>
      <c r="H3005" s="567">
        <v>4160</v>
      </c>
      <c r="O3005"/>
    </row>
    <row r="3006" spans="1:15" x14ac:dyDescent="0.2">
      <c r="A3006" s="567">
        <v>3364</v>
      </c>
      <c r="B3006" s="568" t="s">
        <v>3173</v>
      </c>
      <c r="C3006" s="568" t="s">
        <v>3174</v>
      </c>
      <c r="D3006" s="567">
        <v>9831</v>
      </c>
      <c r="E3006" s="567">
        <v>66</v>
      </c>
      <c r="F3006" s="567">
        <v>4</v>
      </c>
      <c r="G3006" s="567">
        <v>435</v>
      </c>
      <c r="H3006" s="567">
        <v>4160</v>
      </c>
      <c r="O3006"/>
    </row>
    <row r="3007" spans="1:15" x14ac:dyDescent="0.2">
      <c r="A3007" s="567">
        <v>3365</v>
      </c>
      <c r="B3007" s="568" t="s">
        <v>3173</v>
      </c>
      <c r="C3007" s="568" t="s">
        <v>3175</v>
      </c>
      <c r="D3007" s="567">
        <v>9832</v>
      </c>
      <c r="E3007" s="567">
        <v>66</v>
      </c>
      <c r="F3007" s="567">
        <v>4</v>
      </c>
      <c r="G3007" s="567">
        <v>435</v>
      </c>
      <c r="H3007" s="567">
        <v>4160</v>
      </c>
      <c r="O3007"/>
    </row>
    <row r="3008" spans="1:15" x14ac:dyDescent="0.2">
      <c r="A3008" s="567">
        <v>2355</v>
      </c>
      <c r="B3008" s="568" t="s">
        <v>2534</v>
      </c>
      <c r="C3008" s="568" t="s">
        <v>2533</v>
      </c>
      <c r="D3008" s="567">
        <v>6780</v>
      </c>
      <c r="E3008" s="567">
        <v>128</v>
      </c>
      <c r="F3008" s="567">
        <v>7</v>
      </c>
      <c r="G3008" s="567">
        <v>337</v>
      </c>
      <c r="H3008" s="567">
        <v>3180</v>
      </c>
      <c r="O3008"/>
    </row>
    <row r="3009" spans="1:15" x14ac:dyDescent="0.2">
      <c r="A3009" s="567">
        <v>2356</v>
      </c>
      <c r="B3009" s="568" t="s">
        <v>2534</v>
      </c>
      <c r="C3009" s="568" t="s">
        <v>2543</v>
      </c>
      <c r="D3009" s="567">
        <v>6781</v>
      </c>
      <c r="E3009" s="567">
        <v>128</v>
      </c>
      <c r="F3009" s="567">
        <v>7</v>
      </c>
      <c r="G3009" s="567">
        <v>337</v>
      </c>
      <c r="H3009" s="567">
        <v>3180</v>
      </c>
      <c r="O3009"/>
    </row>
    <row r="3010" spans="1:15" x14ac:dyDescent="0.2">
      <c r="A3010" s="567">
        <v>2357</v>
      </c>
      <c r="B3010" s="568" t="s">
        <v>2534</v>
      </c>
      <c r="C3010" s="568" t="s">
        <v>2544</v>
      </c>
      <c r="D3010" s="567">
        <v>6782</v>
      </c>
      <c r="E3010" s="567">
        <v>128</v>
      </c>
      <c r="F3010" s="567">
        <v>7</v>
      </c>
      <c r="G3010" s="567">
        <v>337</v>
      </c>
      <c r="H3010" s="567">
        <v>3180</v>
      </c>
      <c r="O3010"/>
    </row>
    <row r="3011" spans="1:15" x14ac:dyDescent="0.2">
      <c r="A3011" s="567">
        <v>2358</v>
      </c>
      <c r="B3011" s="568" t="s">
        <v>2534</v>
      </c>
      <c r="C3011" s="568" t="s">
        <v>2545</v>
      </c>
      <c r="D3011" s="567">
        <v>6783</v>
      </c>
      <c r="E3011" s="567">
        <v>128</v>
      </c>
      <c r="F3011" s="567">
        <v>7</v>
      </c>
      <c r="G3011" s="567">
        <v>337</v>
      </c>
      <c r="H3011" s="567">
        <v>3180</v>
      </c>
      <c r="O3011"/>
    </row>
    <row r="3012" spans="1:15" x14ac:dyDescent="0.2">
      <c r="A3012" s="567">
        <v>2359</v>
      </c>
      <c r="B3012" s="568" t="s">
        <v>2534</v>
      </c>
      <c r="C3012" s="568" t="s">
        <v>2546</v>
      </c>
      <c r="D3012" s="567">
        <v>6784</v>
      </c>
      <c r="E3012" s="567">
        <v>128</v>
      </c>
      <c r="F3012" s="567">
        <v>7</v>
      </c>
      <c r="G3012" s="567">
        <v>337</v>
      </c>
      <c r="H3012" s="567">
        <v>3180</v>
      </c>
      <c r="O3012"/>
    </row>
    <row r="3013" spans="1:15" x14ac:dyDescent="0.2">
      <c r="A3013" s="567">
        <v>2360</v>
      </c>
      <c r="B3013" s="568" t="s">
        <v>2534</v>
      </c>
      <c r="C3013" s="568" t="s">
        <v>2547</v>
      </c>
      <c r="D3013" s="567">
        <v>6785</v>
      </c>
      <c r="E3013" s="567">
        <v>128</v>
      </c>
      <c r="F3013" s="567">
        <v>7</v>
      </c>
      <c r="G3013" s="567">
        <v>337</v>
      </c>
      <c r="H3013" s="567">
        <v>3180</v>
      </c>
      <c r="O3013"/>
    </row>
    <row r="3014" spans="1:15" x14ac:dyDescent="0.2">
      <c r="A3014" s="567">
        <v>2361</v>
      </c>
      <c r="B3014" s="568" t="s">
        <v>2534</v>
      </c>
      <c r="C3014" s="568" t="s">
        <v>2548</v>
      </c>
      <c r="D3014" s="567">
        <v>6786</v>
      </c>
      <c r="E3014" s="567">
        <v>128</v>
      </c>
      <c r="F3014" s="567">
        <v>7</v>
      </c>
      <c r="G3014" s="567">
        <v>337</v>
      </c>
      <c r="H3014" s="567">
        <v>3180</v>
      </c>
      <c r="O3014"/>
    </row>
    <row r="3015" spans="1:15" x14ac:dyDescent="0.2">
      <c r="A3015" s="567">
        <v>2362</v>
      </c>
      <c r="B3015" s="568" t="s">
        <v>2534</v>
      </c>
      <c r="C3015" s="568" t="s">
        <v>2549</v>
      </c>
      <c r="D3015" s="567">
        <v>6787</v>
      </c>
      <c r="E3015" s="567">
        <v>128</v>
      </c>
      <c r="F3015" s="567">
        <v>7</v>
      </c>
      <c r="G3015" s="567">
        <v>337</v>
      </c>
      <c r="H3015" s="567">
        <v>3180</v>
      </c>
      <c r="O3015"/>
    </row>
    <row r="3016" spans="1:15" x14ac:dyDescent="0.2">
      <c r="A3016" s="567">
        <v>2960</v>
      </c>
      <c r="B3016" s="568" t="s">
        <v>1121</v>
      </c>
      <c r="C3016" s="568" t="s">
        <v>3262</v>
      </c>
      <c r="D3016" s="567">
        <v>8543</v>
      </c>
      <c r="E3016" s="567">
        <v>0</v>
      </c>
      <c r="F3016" s="567">
        <v>13</v>
      </c>
      <c r="G3016" s="567">
        <v>421</v>
      </c>
      <c r="H3016" s="567">
        <v>4170</v>
      </c>
      <c r="O3016"/>
    </row>
    <row r="3017" spans="1:15" x14ac:dyDescent="0.2">
      <c r="A3017" s="567">
        <v>2959</v>
      </c>
      <c r="B3017" s="568" t="s">
        <v>1121</v>
      </c>
      <c r="C3017" s="568" t="s">
        <v>2490</v>
      </c>
      <c r="D3017" s="567">
        <v>8542</v>
      </c>
      <c r="E3017" s="567">
        <v>0</v>
      </c>
      <c r="F3017" s="567">
        <v>13</v>
      </c>
      <c r="G3017" s="567">
        <v>421</v>
      </c>
      <c r="H3017" s="567">
        <v>4170</v>
      </c>
      <c r="O3017"/>
    </row>
    <row r="3018" spans="1:15" x14ac:dyDescent="0.2">
      <c r="A3018" s="567">
        <v>2958</v>
      </c>
      <c r="B3018" s="568" t="s">
        <v>1121</v>
      </c>
      <c r="C3018" s="568" t="s">
        <v>3263</v>
      </c>
      <c r="D3018" s="567">
        <v>8541</v>
      </c>
      <c r="E3018" s="567">
        <v>0</v>
      </c>
      <c r="F3018" s="567">
        <v>13</v>
      </c>
      <c r="G3018" s="567">
        <v>421</v>
      </c>
      <c r="H3018" s="567">
        <v>4170</v>
      </c>
      <c r="O3018"/>
    </row>
    <row r="3019" spans="1:15" x14ac:dyDescent="0.2">
      <c r="A3019" s="567">
        <v>2957</v>
      </c>
      <c r="B3019" s="568" t="s">
        <v>1121</v>
      </c>
      <c r="C3019" s="568" t="s">
        <v>1121</v>
      </c>
      <c r="D3019" s="567">
        <v>8540</v>
      </c>
      <c r="E3019" s="567">
        <v>0</v>
      </c>
      <c r="F3019" s="567">
        <v>13</v>
      </c>
      <c r="G3019" s="567">
        <v>421</v>
      </c>
      <c r="H3019" s="567">
        <v>4170</v>
      </c>
      <c r="O3019"/>
    </row>
    <row r="3020" spans="1:15" x14ac:dyDescent="0.2">
      <c r="A3020" s="567">
        <v>2963</v>
      </c>
      <c r="B3020" s="568" t="s">
        <v>1121</v>
      </c>
      <c r="C3020" s="568" t="s">
        <v>2661</v>
      </c>
      <c r="D3020" s="567">
        <v>8546</v>
      </c>
      <c r="E3020" s="567">
        <v>0</v>
      </c>
      <c r="F3020" s="567">
        <v>13</v>
      </c>
      <c r="G3020" s="567">
        <v>421</v>
      </c>
      <c r="H3020" s="567">
        <v>4170</v>
      </c>
      <c r="O3020"/>
    </row>
    <row r="3021" spans="1:15" x14ac:dyDescent="0.2">
      <c r="A3021" s="567">
        <v>2961</v>
      </c>
      <c r="B3021" s="568" t="s">
        <v>1121</v>
      </c>
      <c r="C3021" s="568" t="s">
        <v>3294</v>
      </c>
      <c r="D3021" s="567">
        <v>8544</v>
      </c>
      <c r="E3021" s="567">
        <v>0</v>
      </c>
      <c r="F3021" s="567">
        <v>13</v>
      </c>
      <c r="G3021" s="567">
        <v>421</v>
      </c>
      <c r="H3021" s="567">
        <v>4170</v>
      </c>
      <c r="O3021"/>
    </row>
    <row r="3022" spans="1:15" x14ac:dyDescent="0.2">
      <c r="A3022" s="567">
        <v>2962</v>
      </c>
      <c r="B3022" s="568" t="s">
        <v>1121</v>
      </c>
      <c r="C3022" s="568" t="s">
        <v>3296</v>
      </c>
      <c r="D3022" s="567">
        <v>8545</v>
      </c>
      <c r="E3022" s="567">
        <v>0</v>
      </c>
      <c r="F3022" s="567">
        <v>13</v>
      </c>
      <c r="G3022" s="567">
        <v>421</v>
      </c>
      <c r="H3022" s="567">
        <v>4170</v>
      </c>
      <c r="O3022"/>
    </row>
    <row r="3023" spans="1:15" x14ac:dyDescent="0.2">
      <c r="A3023" s="567">
        <v>2966</v>
      </c>
      <c r="B3023" s="568" t="s">
        <v>1121</v>
      </c>
      <c r="C3023" s="568" t="s">
        <v>3302</v>
      </c>
      <c r="D3023" s="567">
        <v>8549</v>
      </c>
      <c r="E3023" s="567">
        <v>0</v>
      </c>
      <c r="F3023" s="567">
        <v>13</v>
      </c>
      <c r="G3023" s="567">
        <v>421</v>
      </c>
      <c r="H3023" s="567">
        <v>4170</v>
      </c>
      <c r="O3023"/>
    </row>
    <row r="3024" spans="1:15" x14ac:dyDescent="0.2">
      <c r="A3024" s="567">
        <v>2965</v>
      </c>
      <c r="B3024" s="568" t="s">
        <v>1121</v>
      </c>
      <c r="C3024" s="568" t="s">
        <v>2972</v>
      </c>
      <c r="D3024" s="567">
        <v>8548</v>
      </c>
      <c r="E3024" s="567">
        <v>0</v>
      </c>
      <c r="F3024" s="567">
        <v>13</v>
      </c>
      <c r="G3024" s="567">
        <v>421</v>
      </c>
      <c r="H3024" s="567">
        <v>4170</v>
      </c>
      <c r="O3024"/>
    </row>
    <row r="3025" spans="1:15" x14ac:dyDescent="0.2">
      <c r="A3025" s="567">
        <v>2964</v>
      </c>
      <c r="B3025" s="568" t="s">
        <v>1121</v>
      </c>
      <c r="C3025" s="568" t="s">
        <v>3303</v>
      </c>
      <c r="D3025" s="567">
        <v>8547</v>
      </c>
      <c r="E3025" s="567">
        <v>0</v>
      </c>
      <c r="F3025" s="567">
        <v>13</v>
      </c>
      <c r="G3025" s="567">
        <v>421</v>
      </c>
      <c r="H3025" s="567">
        <v>4170</v>
      </c>
      <c r="O3025"/>
    </row>
    <row r="3026" spans="1:15" x14ac:dyDescent="0.2">
      <c r="A3026" s="567">
        <v>1891</v>
      </c>
      <c r="B3026" s="568" t="s">
        <v>1929</v>
      </c>
      <c r="C3026" s="568" t="s">
        <v>1929</v>
      </c>
      <c r="D3026" s="567">
        <v>5300</v>
      </c>
      <c r="E3026" s="567">
        <v>115</v>
      </c>
      <c r="F3026" s="567">
        <v>3</v>
      </c>
      <c r="G3026" s="567">
        <v>315</v>
      </c>
      <c r="H3026" s="567">
        <v>3120</v>
      </c>
      <c r="O3026"/>
    </row>
    <row r="3027" spans="1:15" x14ac:dyDescent="0.2">
      <c r="A3027" s="567">
        <v>3063</v>
      </c>
      <c r="B3027" s="568" t="s">
        <v>2776</v>
      </c>
      <c r="C3027" s="568" t="s">
        <v>1763</v>
      </c>
      <c r="D3027" s="567">
        <v>8831</v>
      </c>
      <c r="E3027" s="567">
        <v>120</v>
      </c>
      <c r="F3027" s="567">
        <v>11</v>
      </c>
      <c r="G3027" s="567">
        <v>426</v>
      </c>
      <c r="H3027" s="567">
        <v>4110</v>
      </c>
      <c r="O3027"/>
    </row>
    <row r="3028" spans="1:15" x14ac:dyDescent="0.2">
      <c r="A3028" s="567">
        <v>3062</v>
      </c>
      <c r="B3028" s="568" t="s">
        <v>2776</v>
      </c>
      <c r="C3028" s="568" t="s">
        <v>2776</v>
      </c>
      <c r="D3028" s="567">
        <v>8830</v>
      </c>
      <c r="E3028" s="567">
        <v>120</v>
      </c>
      <c r="F3028" s="567">
        <v>11</v>
      </c>
      <c r="G3028" s="567">
        <v>426</v>
      </c>
      <c r="H3028" s="567">
        <v>4110</v>
      </c>
      <c r="O3028"/>
    </row>
    <row r="3029" spans="1:15" x14ac:dyDescent="0.2">
      <c r="A3029" s="567">
        <v>3004</v>
      </c>
      <c r="B3029" s="568" t="s">
        <v>2723</v>
      </c>
      <c r="C3029" s="568" t="s">
        <v>2723</v>
      </c>
      <c r="D3029" s="567">
        <v>8650</v>
      </c>
      <c r="E3029" s="567">
        <v>121</v>
      </c>
      <c r="F3029" s="567">
        <v>11</v>
      </c>
      <c r="G3029" s="567">
        <v>426</v>
      </c>
      <c r="H3029" s="567">
        <v>4110</v>
      </c>
      <c r="O3029"/>
    </row>
    <row r="3030" spans="1:15" x14ac:dyDescent="0.2">
      <c r="A3030" s="567">
        <v>3005</v>
      </c>
      <c r="B3030" s="568" t="s">
        <v>2723</v>
      </c>
      <c r="C3030" s="568" t="s">
        <v>2724</v>
      </c>
      <c r="D3030" s="567">
        <v>8651</v>
      </c>
      <c r="E3030" s="567">
        <v>121</v>
      </c>
      <c r="F3030" s="567">
        <v>11</v>
      </c>
      <c r="G3030" s="567">
        <v>426</v>
      </c>
      <c r="H3030" s="567">
        <v>4110</v>
      </c>
      <c r="O3030"/>
    </row>
    <row r="3031" spans="1:15" x14ac:dyDescent="0.2">
      <c r="A3031" s="567">
        <v>3006</v>
      </c>
      <c r="B3031" s="568" t="s">
        <v>2723</v>
      </c>
      <c r="C3031" s="568" t="s">
        <v>2725</v>
      </c>
      <c r="D3031" s="567">
        <v>8652</v>
      </c>
      <c r="E3031" s="567">
        <v>121</v>
      </c>
      <c r="F3031" s="567">
        <v>11</v>
      </c>
      <c r="G3031" s="567">
        <v>426</v>
      </c>
      <c r="H3031" s="567">
        <v>4110</v>
      </c>
      <c r="O3031"/>
    </row>
    <row r="3032" spans="1:15" x14ac:dyDescent="0.2">
      <c r="A3032" s="567">
        <v>3007</v>
      </c>
      <c r="B3032" s="568" t="s">
        <v>2723</v>
      </c>
      <c r="C3032" s="568" t="s">
        <v>704</v>
      </c>
      <c r="D3032" s="567">
        <v>8653</v>
      </c>
      <c r="E3032" s="567">
        <v>121</v>
      </c>
      <c r="F3032" s="567">
        <v>11</v>
      </c>
      <c r="G3032" s="567">
        <v>426</v>
      </c>
      <c r="H3032" s="567">
        <v>4110</v>
      </c>
      <c r="O3032"/>
    </row>
    <row r="3033" spans="1:15" x14ac:dyDescent="0.2">
      <c r="A3033" s="567">
        <v>3008</v>
      </c>
      <c r="B3033" s="568" t="s">
        <v>2723</v>
      </c>
      <c r="C3033" s="568" t="s">
        <v>2726</v>
      </c>
      <c r="D3033" s="567">
        <v>8654</v>
      </c>
      <c r="E3033" s="567">
        <v>121</v>
      </c>
      <c r="F3033" s="567">
        <v>11</v>
      </c>
      <c r="G3033" s="567">
        <v>426</v>
      </c>
      <c r="H3033" s="567">
        <v>4110</v>
      </c>
      <c r="O3033"/>
    </row>
    <row r="3034" spans="1:15" x14ac:dyDescent="0.2">
      <c r="A3034" s="567">
        <v>400</v>
      </c>
      <c r="B3034" s="568" t="s">
        <v>561</v>
      </c>
      <c r="C3034" s="568" t="s">
        <v>561</v>
      </c>
      <c r="D3034" s="567">
        <v>730</v>
      </c>
      <c r="E3034" s="567">
        <v>96</v>
      </c>
      <c r="F3034" s="567">
        <v>1</v>
      </c>
      <c r="G3034" s="567">
        <v>125</v>
      </c>
      <c r="H3034" s="567">
        <v>1150</v>
      </c>
      <c r="O3034"/>
    </row>
    <row r="3035" spans="1:15" x14ac:dyDescent="0.2">
      <c r="A3035" s="567">
        <v>776</v>
      </c>
      <c r="B3035" s="568" t="s">
        <v>818</v>
      </c>
      <c r="C3035" s="568" t="s">
        <v>818</v>
      </c>
      <c r="D3035" s="567">
        <v>1855</v>
      </c>
      <c r="E3035" s="567">
        <v>68</v>
      </c>
      <c r="F3035" s="567">
        <v>2</v>
      </c>
      <c r="G3035" s="567">
        <v>116</v>
      </c>
      <c r="H3035" s="567">
        <v>1180</v>
      </c>
      <c r="O3035"/>
    </row>
    <row r="3036" spans="1:15" x14ac:dyDescent="0.2">
      <c r="A3036" s="567">
        <v>440</v>
      </c>
      <c r="B3036" s="568" t="s">
        <v>600</v>
      </c>
      <c r="C3036" s="568" t="s">
        <v>600</v>
      </c>
      <c r="D3036" s="567">
        <v>830</v>
      </c>
      <c r="E3036" s="567">
        <v>98</v>
      </c>
      <c r="F3036" s="567">
        <v>1</v>
      </c>
      <c r="G3036" s="567">
        <v>125</v>
      </c>
      <c r="H3036" s="567">
        <v>1150</v>
      </c>
      <c r="O3036"/>
    </row>
    <row r="3037" spans="1:15" x14ac:dyDescent="0.2">
      <c r="A3037" s="567">
        <v>441</v>
      </c>
      <c r="B3037" s="568" t="s">
        <v>600</v>
      </c>
      <c r="C3037" s="568" t="s">
        <v>601</v>
      </c>
      <c r="D3037" s="567">
        <v>831</v>
      </c>
      <c r="E3037" s="567">
        <v>98</v>
      </c>
      <c r="F3037" s="567">
        <v>1</v>
      </c>
      <c r="G3037" s="567">
        <v>125</v>
      </c>
      <c r="H3037" s="567">
        <v>1150</v>
      </c>
      <c r="O3037"/>
    </row>
    <row r="3038" spans="1:15" x14ac:dyDescent="0.2">
      <c r="A3038" s="567">
        <v>2112</v>
      </c>
      <c r="B3038" s="568" t="s">
        <v>1742</v>
      </c>
      <c r="C3038" s="568" t="s">
        <v>1742</v>
      </c>
      <c r="D3038" s="567">
        <v>6050</v>
      </c>
      <c r="E3038" s="567">
        <v>65</v>
      </c>
      <c r="F3038" s="567">
        <v>8</v>
      </c>
      <c r="G3038" s="567">
        <v>326</v>
      </c>
      <c r="H3038" s="567">
        <v>3100</v>
      </c>
      <c r="O3038"/>
    </row>
    <row r="3039" spans="1:15" x14ac:dyDescent="0.2">
      <c r="A3039" s="567">
        <v>2943</v>
      </c>
      <c r="B3039" s="568" t="s">
        <v>3273</v>
      </c>
      <c r="C3039" s="568" t="s">
        <v>3273</v>
      </c>
      <c r="D3039" s="567">
        <v>8475</v>
      </c>
      <c r="E3039" s="567">
        <v>123</v>
      </c>
      <c r="F3039" s="567">
        <v>11</v>
      </c>
      <c r="G3039" s="567">
        <v>425</v>
      </c>
      <c r="H3039" s="567">
        <v>4170</v>
      </c>
      <c r="O3039"/>
    </row>
    <row r="3040" spans="1:15" x14ac:dyDescent="0.2">
      <c r="A3040" s="567">
        <v>278</v>
      </c>
      <c r="B3040" s="568" t="s">
        <v>1022</v>
      </c>
      <c r="C3040" s="568" t="s">
        <v>1022</v>
      </c>
      <c r="D3040" s="567">
        <v>455</v>
      </c>
      <c r="E3040" s="567">
        <v>86</v>
      </c>
      <c r="F3040" s="567">
        <v>20</v>
      </c>
      <c r="G3040" s="567">
        <v>127</v>
      </c>
      <c r="H3040" s="567">
        <v>1200</v>
      </c>
      <c r="O3040"/>
    </row>
    <row r="3041" spans="1:15" x14ac:dyDescent="0.2">
      <c r="A3041" s="567">
        <v>279</v>
      </c>
      <c r="B3041" s="568" t="s">
        <v>1022</v>
      </c>
      <c r="C3041" s="568" t="s">
        <v>1023</v>
      </c>
      <c r="D3041" s="567">
        <v>456</v>
      </c>
      <c r="E3041" s="567">
        <v>86</v>
      </c>
      <c r="F3041" s="567">
        <v>20</v>
      </c>
      <c r="G3041" s="567">
        <v>127</v>
      </c>
      <c r="H3041" s="567">
        <v>1200</v>
      </c>
      <c r="O3041"/>
    </row>
    <row r="3042" spans="1:15" x14ac:dyDescent="0.2">
      <c r="A3042" s="567">
        <v>280</v>
      </c>
      <c r="B3042" s="568" t="s">
        <v>1022</v>
      </c>
      <c r="C3042" s="568" t="s">
        <v>1024</v>
      </c>
      <c r="D3042" s="567">
        <v>457</v>
      </c>
      <c r="E3042" s="567">
        <v>86</v>
      </c>
      <c r="F3042" s="567">
        <v>20</v>
      </c>
      <c r="G3042" s="567">
        <v>127</v>
      </c>
      <c r="H3042" s="567">
        <v>1200</v>
      </c>
      <c r="O3042"/>
    </row>
    <row r="3043" spans="1:15" x14ac:dyDescent="0.2">
      <c r="A3043" s="567">
        <v>1485</v>
      </c>
      <c r="B3043" s="568" t="s">
        <v>1663</v>
      </c>
      <c r="C3043" s="568" t="s">
        <v>1663</v>
      </c>
      <c r="D3043" s="567">
        <v>4080</v>
      </c>
      <c r="E3043" s="567">
        <v>73</v>
      </c>
      <c r="F3043" s="567">
        <v>7</v>
      </c>
      <c r="G3043" s="567">
        <v>235</v>
      </c>
      <c r="H3043" s="567">
        <v>2160</v>
      </c>
      <c r="O3043"/>
    </row>
    <row r="3044" spans="1:15" x14ac:dyDescent="0.2">
      <c r="A3044" s="567">
        <v>1486</v>
      </c>
      <c r="B3044" s="568" t="s">
        <v>1663</v>
      </c>
      <c r="C3044" s="568" t="s">
        <v>1664</v>
      </c>
      <c r="D3044" s="567">
        <v>4081</v>
      </c>
      <c r="E3044" s="567">
        <v>73</v>
      </c>
      <c r="F3044" s="567">
        <v>7</v>
      </c>
      <c r="G3044" s="567">
        <v>235</v>
      </c>
      <c r="H3044" s="567">
        <v>2160</v>
      </c>
      <c r="O3044"/>
    </row>
    <row r="3045" spans="1:15" x14ac:dyDescent="0.2">
      <c r="A3045" s="567">
        <v>876</v>
      </c>
      <c r="B3045" s="568" t="s">
        <v>83</v>
      </c>
      <c r="C3045" s="568" t="s">
        <v>83</v>
      </c>
      <c r="D3045" s="567">
        <v>2230</v>
      </c>
      <c r="E3045" s="567">
        <v>75</v>
      </c>
      <c r="F3045" s="567">
        <v>13</v>
      </c>
      <c r="G3045" s="567">
        <v>136</v>
      </c>
      <c r="H3045" s="567">
        <v>1101</v>
      </c>
      <c r="O3045"/>
    </row>
    <row r="3046" spans="1:15" x14ac:dyDescent="0.2">
      <c r="A3046" s="567">
        <v>877</v>
      </c>
      <c r="B3046" s="568" t="s">
        <v>83</v>
      </c>
      <c r="C3046" s="568" t="s">
        <v>84</v>
      </c>
      <c r="D3046" s="567">
        <v>2231</v>
      </c>
      <c r="E3046" s="567">
        <v>75</v>
      </c>
      <c r="F3046" s="567">
        <v>13</v>
      </c>
      <c r="G3046" s="567">
        <v>136</v>
      </c>
      <c r="H3046" s="567">
        <v>1101</v>
      </c>
      <c r="O3046"/>
    </row>
    <row r="3047" spans="1:15" x14ac:dyDescent="0.2">
      <c r="A3047" s="567">
        <v>878</v>
      </c>
      <c r="B3047" s="568" t="s">
        <v>83</v>
      </c>
      <c r="C3047" s="568" t="s">
        <v>85</v>
      </c>
      <c r="D3047" s="567">
        <v>2232</v>
      </c>
      <c r="E3047" s="567">
        <v>75</v>
      </c>
      <c r="F3047" s="567">
        <v>13</v>
      </c>
      <c r="G3047" s="567">
        <v>136</v>
      </c>
      <c r="H3047" s="567">
        <v>1101</v>
      </c>
      <c r="O3047"/>
    </row>
    <row r="3048" spans="1:15" x14ac:dyDescent="0.2">
      <c r="A3048" s="567">
        <v>879</v>
      </c>
      <c r="B3048" s="568" t="s">
        <v>83</v>
      </c>
      <c r="C3048" s="568" t="s">
        <v>86</v>
      </c>
      <c r="D3048" s="567">
        <v>2233</v>
      </c>
      <c r="E3048" s="567">
        <v>75</v>
      </c>
      <c r="F3048" s="567">
        <v>13</v>
      </c>
      <c r="G3048" s="567">
        <v>136</v>
      </c>
      <c r="H3048" s="567">
        <v>1101</v>
      </c>
      <c r="O3048"/>
    </row>
    <row r="3049" spans="1:15" x14ac:dyDescent="0.2">
      <c r="A3049" s="567">
        <v>880</v>
      </c>
      <c r="B3049" s="568" t="s">
        <v>83</v>
      </c>
      <c r="C3049" s="568" t="s">
        <v>87</v>
      </c>
      <c r="D3049" s="567">
        <v>2234</v>
      </c>
      <c r="E3049" s="567">
        <v>75</v>
      </c>
      <c r="F3049" s="567">
        <v>13</v>
      </c>
      <c r="G3049" s="567">
        <v>136</v>
      </c>
      <c r="H3049" s="567">
        <v>1101</v>
      </c>
      <c r="O3049"/>
    </row>
    <row r="3050" spans="1:15" x14ac:dyDescent="0.2">
      <c r="A3050" s="567">
        <v>881</v>
      </c>
      <c r="B3050" s="568" t="s">
        <v>83</v>
      </c>
      <c r="C3050" s="568" t="s">
        <v>88</v>
      </c>
      <c r="D3050" s="567">
        <v>2235</v>
      </c>
      <c r="E3050" s="567">
        <v>75</v>
      </c>
      <c r="F3050" s="567">
        <v>13</v>
      </c>
      <c r="G3050" s="567">
        <v>136</v>
      </c>
      <c r="H3050" s="567">
        <v>1101</v>
      </c>
      <c r="O3050"/>
    </row>
    <row r="3051" spans="1:15" x14ac:dyDescent="0.2">
      <c r="A3051" s="567">
        <v>882</v>
      </c>
      <c r="B3051" s="568" t="s">
        <v>83</v>
      </c>
      <c r="C3051" s="568" t="s">
        <v>89</v>
      </c>
      <c r="D3051" s="567">
        <v>2236</v>
      </c>
      <c r="E3051" s="567">
        <v>75</v>
      </c>
      <c r="F3051" s="567">
        <v>13</v>
      </c>
      <c r="G3051" s="567">
        <v>136</v>
      </c>
      <c r="H3051" s="567">
        <v>1101</v>
      </c>
      <c r="O3051"/>
    </row>
    <row r="3052" spans="1:15" x14ac:dyDescent="0.2">
      <c r="A3052" s="567">
        <v>2950</v>
      </c>
      <c r="B3052" s="568" t="s">
        <v>3267</v>
      </c>
      <c r="C3052" s="568" t="s">
        <v>3267</v>
      </c>
      <c r="D3052" s="567">
        <v>8505</v>
      </c>
      <c r="E3052" s="567">
        <v>124</v>
      </c>
      <c r="F3052" s="567">
        <v>11</v>
      </c>
      <c r="G3052" s="567">
        <v>425</v>
      </c>
      <c r="H3052" s="567">
        <v>4170</v>
      </c>
      <c r="O3052"/>
    </row>
    <row r="3053" spans="1:15" x14ac:dyDescent="0.2">
      <c r="A3053" s="567">
        <v>2951</v>
      </c>
      <c r="B3053" s="568" t="s">
        <v>3266</v>
      </c>
      <c r="C3053" s="568" t="s">
        <v>3266</v>
      </c>
      <c r="D3053" s="567">
        <v>8510</v>
      </c>
      <c r="E3053" s="567">
        <v>125</v>
      </c>
      <c r="F3053" s="567">
        <v>12</v>
      </c>
      <c r="G3053" s="567">
        <v>425</v>
      </c>
      <c r="H3053" s="567">
        <v>4170</v>
      </c>
      <c r="O3053"/>
    </row>
    <row r="3054" spans="1:15" x14ac:dyDescent="0.2">
      <c r="A3054" s="567">
        <v>3235</v>
      </c>
      <c r="B3054" s="568" t="s">
        <v>2833</v>
      </c>
      <c r="C3054" s="568" t="s">
        <v>2833</v>
      </c>
      <c r="D3054" s="567">
        <v>9360</v>
      </c>
      <c r="E3054" s="567">
        <v>77</v>
      </c>
      <c r="F3054" s="567">
        <v>11</v>
      </c>
      <c r="G3054" s="567">
        <v>436</v>
      </c>
      <c r="H3054" s="567">
        <v>4120</v>
      </c>
      <c r="O3054"/>
    </row>
    <row r="3055" spans="1:15" x14ac:dyDescent="0.2">
      <c r="A3055" s="567">
        <v>628</v>
      </c>
      <c r="B3055" s="568" t="s">
        <v>199</v>
      </c>
      <c r="C3055" s="568" t="s">
        <v>198</v>
      </c>
      <c r="D3055" s="567">
        <v>1380</v>
      </c>
      <c r="E3055" s="567">
        <v>76</v>
      </c>
      <c r="F3055" s="567">
        <v>2</v>
      </c>
      <c r="G3055" s="567">
        <v>119</v>
      </c>
      <c r="H3055" s="567">
        <v>1110</v>
      </c>
      <c r="O3055"/>
    </row>
    <row r="3056" spans="1:15" x14ac:dyDescent="0.2">
      <c r="A3056" s="567">
        <v>629</v>
      </c>
      <c r="B3056" s="568" t="s">
        <v>199</v>
      </c>
      <c r="C3056" s="568" t="s">
        <v>201</v>
      </c>
      <c r="D3056" s="567">
        <v>1381</v>
      </c>
      <c r="E3056" s="567">
        <v>76</v>
      </c>
      <c r="F3056" s="567">
        <v>2</v>
      </c>
      <c r="G3056" s="567">
        <v>119</v>
      </c>
      <c r="H3056" s="567">
        <v>1110</v>
      </c>
      <c r="O3056"/>
    </row>
    <row r="3057" spans="1:15" x14ac:dyDescent="0.2">
      <c r="A3057" s="567">
        <v>3015</v>
      </c>
      <c r="B3057" s="568" t="s">
        <v>2674</v>
      </c>
      <c r="C3057" s="568" t="s">
        <v>2673</v>
      </c>
      <c r="D3057" s="567">
        <v>8666</v>
      </c>
      <c r="E3057" s="567">
        <v>124</v>
      </c>
      <c r="F3057" s="567">
        <v>11</v>
      </c>
      <c r="G3057" s="567">
        <v>426</v>
      </c>
      <c r="H3057" s="567">
        <v>4110</v>
      </c>
      <c r="O3057"/>
    </row>
    <row r="3058" spans="1:15" x14ac:dyDescent="0.2">
      <c r="A3058" s="567">
        <v>3011</v>
      </c>
      <c r="B3058" s="568" t="s">
        <v>2674</v>
      </c>
      <c r="C3058" s="568" t="s">
        <v>2721</v>
      </c>
      <c r="D3058" s="567">
        <v>8662</v>
      </c>
      <c r="E3058" s="567">
        <v>124</v>
      </c>
      <c r="F3058" s="567">
        <v>11</v>
      </c>
      <c r="G3058" s="567">
        <v>426</v>
      </c>
      <c r="H3058" s="567">
        <v>4110</v>
      </c>
      <c r="O3058"/>
    </row>
    <row r="3059" spans="1:15" x14ac:dyDescent="0.2">
      <c r="A3059" s="567">
        <v>3010</v>
      </c>
      <c r="B3059" s="568" t="s">
        <v>2674</v>
      </c>
      <c r="C3059" s="568" t="s">
        <v>2727</v>
      </c>
      <c r="D3059" s="567">
        <v>8661</v>
      </c>
      <c r="E3059" s="567">
        <v>124</v>
      </c>
      <c r="F3059" s="567">
        <v>11</v>
      </c>
      <c r="G3059" s="567">
        <v>426</v>
      </c>
      <c r="H3059" s="567">
        <v>4110</v>
      </c>
      <c r="O3059"/>
    </row>
    <row r="3060" spans="1:15" x14ac:dyDescent="0.2">
      <c r="A3060" s="567">
        <v>3012</v>
      </c>
      <c r="B3060" s="568" t="s">
        <v>2674</v>
      </c>
      <c r="C3060" s="568" t="s">
        <v>2728</v>
      </c>
      <c r="D3060" s="567">
        <v>8663</v>
      </c>
      <c r="E3060" s="567">
        <v>124</v>
      </c>
      <c r="F3060" s="567">
        <v>11</v>
      </c>
      <c r="G3060" s="567">
        <v>426</v>
      </c>
      <c r="H3060" s="567">
        <v>4110</v>
      </c>
      <c r="O3060"/>
    </row>
    <row r="3061" spans="1:15" x14ac:dyDescent="0.2">
      <c r="A3061" s="567">
        <v>3013</v>
      </c>
      <c r="B3061" s="568" t="s">
        <v>2674</v>
      </c>
      <c r="C3061" s="568" t="s">
        <v>2729</v>
      </c>
      <c r="D3061" s="567">
        <v>8664</v>
      </c>
      <c r="E3061" s="567">
        <v>124</v>
      </c>
      <c r="F3061" s="567">
        <v>11</v>
      </c>
      <c r="G3061" s="567">
        <v>426</v>
      </c>
      <c r="H3061" s="567">
        <v>4110</v>
      </c>
      <c r="O3061"/>
    </row>
    <row r="3062" spans="1:15" x14ac:dyDescent="0.2">
      <c r="A3062" s="567">
        <v>3014</v>
      </c>
      <c r="B3062" s="568" t="s">
        <v>2674</v>
      </c>
      <c r="C3062" s="568" t="s">
        <v>2730</v>
      </c>
      <c r="D3062" s="567">
        <v>8665</v>
      </c>
      <c r="E3062" s="567">
        <v>124</v>
      </c>
      <c r="F3062" s="567">
        <v>11</v>
      </c>
      <c r="G3062" s="567">
        <v>426</v>
      </c>
      <c r="H3062" s="567">
        <v>4110</v>
      </c>
      <c r="O3062"/>
    </row>
    <row r="3063" spans="1:15" x14ac:dyDescent="0.2">
      <c r="A3063" s="567">
        <v>3009</v>
      </c>
      <c r="B3063" s="568" t="s">
        <v>2674</v>
      </c>
      <c r="C3063" s="568" t="s">
        <v>2674</v>
      </c>
      <c r="D3063" s="567">
        <v>8660</v>
      </c>
      <c r="E3063" s="567">
        <v>124</v>
      </c>
      <c r="F3063" s="567">
        <v>11</v>
      </c>
      <c r="G3063" s="567">
        <v>426</v>
      </c>
      <c r="H3063" s="567">
        <v>4110</v>
      </c>
      <c r="O3063"/>
    </row>
    <row r="3064" spans="1:15" x14ac:dyDescent="0.2">
      <c r="A3064" s="567">
        <v>2480</v>
      </c>
      <c r="B3064" s="568" t="s">
        <v>2077</v>
      </c>
      <c r="C3064" s="568" t="s">
        <v>2077</v>
      </c>
      <c r="D3064" s="567">
        <v>7105</v>
      </c>
      <c r="E3064" s="567">
        <v>90</v>
      </c>
      <c r="F3064" s="567">
        <v>6</v>
      </c>
      <c r="G3064" s="567">
        <v>336</v>
      </c>
      <c r="H3064" s="567">
        <v>3130</v>
      </c>
      <c r="O3064"/>
    </row>
    <row r="3065" spans="1:15" x14ac:dyDescent="0.2">
      <c r="A3065" s="567">
        <v>524</v>
      </c>
      <c r="B3065" s="568" t="s">
        <v>724</v>
      </c>
      <c r="C3065" s="568" t="s">
        <v>723</v>
      </c>
      <c r="D3065" s="567">
        <v>1064</v>
      </c>
      <c r="E3065" s="567">
        <v>73</v>
      </c>
      <c r="F3065" s="567">
        <v>2</v>
      </c>
      <c r="G3065" s="567">
        <v>118</v>
      </c>
      <c r="H3065" s="567">
        <v>1170</v>
      </c>
      <c r="O3065"/>
    </row>
    <row r="3066" spans="1:15" x14ac:dyDescent="0.2">
      <c r="A3066" s="567">
        <v>528</v>
      </c>
      <c r="B3066" s="568" t="s">
        <v>724</v>
      </c>
      <c r="C3066" s="568" t="s">
        <v>730</v>
      </c>
      <c r="D3066" s="567">
        <v>1068</v>
      </c>
      <c r="E3066" s="567">
        <v>73</v>
      </c>
      <c r="F3066" s="567">
        <v>2</v>
      </c>
      <c r="G3066" s="567">
        <v>118</v>
      </c>
      <c r="H3066" s="567">
        <v>1170</v>
      </c>
      <c r="O3066"/>
    </row>
    <row r="3067" spans="1:15" x14ac:dyDescent="0.2">
      <c r="A3067" s="567">
        <v>527</v>
      </c>
      <c r="B3067" s="568" t="s">
        <v>724</v>
      </c>
      <c r="C3067" s="568" t="s">
        <v>731</v>
      </c>
      <c r="D3067" s="567">
        <v>1067</v>
      </c>
      <c r="E3067" s="567">
        <v>73</v>
      </c>
      <c r="F3067" s="567">
        <v>2</v>
      </c>
      <c r="G3067" s="567">
        <v>118</v>
      </c>
      <c r="H3067" s="567">
        <v>1170</v>
      </c>
      <c r="O3067"/>
    </row>
    <row r="3068" spans="1:15" x14ac:dyDescent="0.2">
      <c r="A3068" s="567">
        <v>525</v>
      </c>
      <c r="B3068" s="568" t="s">
        <v>724</v>
      </c>
      <c r="C3068" s="568" t="s">
        <v>733</v>
      </c>
      <c r="D3068" s="567">
        <v>1065</v>
      </c>
      <c r="E3068" s="567">
        <v>73</v>
      </c>
      <c r="F3068" s="567">
        <v>2</v>
      </c>
      <c r="G3068" s="567">
        <v>118</v>
      </c>
      <c r="H3068" s="567">
        <v>1170</v>
      </c>
      <c r="O3068"/>
    </row>
    <row r="3069" spans="1:15" x14ac:dyDescent="0.2">
      <c r="A3069" s="567">
        <v>523</v>
      </c>
      <c r="B3069" s="568" t="s">
        <v>724</v>
      </c>
      <c r="C3069" s="568" t="s">
        <v>735</v>
      </c>
      <c r="D3069" s="567">
        <v>1063</v>
      </c>
      <c r="E3069" s="567">
        <v>73</v>
      </c>
      <c r="F3069" s="567">
        <v>2</v>
      </c>
      <c r="G3069" s="567">
        <v>118</v>
      </c>
      <c r="H3069" s="567">
        <v>1170</v>
      </c>
      <c r="O3069"/>
    </row>
    <row r="3070" spans="1:15" x14ac:dyDescent="0.2">
      <c r="A3070" s="567">
        <v>522</v>
      </c>
      <c r="B3070" s="568" t="s">
        <v>724</v>
      </c>
      <c r="C3070" s="568" t="s">
        <v>736</v>
      </c>
      <c r="D3070" s="567">
        <v>1062</v>
      </c>
      <c r="E3070" s="567">
        <v>73</v>
      </c>
      <c r="F3070" s="567">
        <v>2</v>
      </c>
      <c r="G3070" s="567">
        <v>118</v>
      </c>
      <c r="H3070" s="567">
        <v>1170</v>
      </c>
      <c r="O3070"/>
    </row>
    <row r="3071" spans="1:15" x14ac:dyDescent="0.2">
      <c r="A3071" s="567">
        <v>521</v>
      </c>
      <c r="B3071" s="568" t="s">
        <v>724</v>
      </c>
      <c r="C3071" s="568" t="s">
        <v>737</v>
      </c>
      <c r="D3071" s="567">
        <v>1061</v>
      </c>
      <c r="E3071" s="567">
        <v>73</v>
      </c>
      <c r="F3071" s="567">
        <v>2</v>
      </c>
      <c r="G3071" s="567">
        <v>118</v>
      </c>
      <c r="H3071" s="567">
        <v>1170</v>
      </c>
      <c r="O3071"/>
    </row>
    <row r="3072" spans="1:15" x14ac:dyDescent="0.2">
      <c r="A3072" s="567">
        <v>520</v>
      </c>
      <c r="B3072" s="568" t="s">
        <v>724</v>
      </c>
      <c r="C3072" s="568" t="s">
        <v>738</v>
      </c>
      <c r="D3072" s="567">
        <v>1060</v>
      </c>
      <c r="E3072" s="567">
        <v>73</v>
      </c>
      <c r="F3072" s="567">
        <v>2</v>
      </c>
      <c r="G3072" s="567">
        <v>118</v>
      </c>
      <c r="H3072" s="567">
        <v>1170</v>
      </c>
      <c r="O3072"/>
    </row>
    <row r="3073" spans="1:15" x14ac:dyDescent="0.2">
      <c r="A3073" s="567">
        <v>526</v>
      </c>
      <c r="B3073" s="568" t="s">
        <v>724</v>
      </c>
      <c r="C3073" s="568" t="s">
        <v>743</v>
      </c>
      <c r="D3073" s="567">
        <v>1066</v>
      </c>
      <c r="E3073" s="567">
        <v>73</v>
      </c>
      <c r="F3073" s="567">
        <v>2</v>
      </c>
      <c r="G3073" s="567">
        <v>118</v>
      </c>
      <c r="H3073" s="567">
        <v>1170</v>
      </c>
      <c r="O3073"/>
    </row>
    <row r="3074" spans="1:15" x14ac:dyDescent="0.2">
      <c r="A3074" s="567">
        <v>287</v>
      </c>
      <c r="B3074" s="568" t="s">
        <v>1017</v>
      </c>
      <c r="C3074" s="568" t="s">
        <v>1017</v>
      </c>
      <c r="D3074" s="567">
        <v>475</v>
      </c>
      <c r="E3074" s="567">
        <v>89</v>
      </c>
      <c r="F3074" s="567">
        <v>20</v>
      </c>
      <c r="G3074" s="567">
        <v>127</v>
      </c>
      <c r="H3074" s="567">
        <v>1200</v>
      </c>
      <c r="O3074"/>
    </row>
    <row r="3075" spans="1:15" x14ac:dyDescent="0.2">
      <c r="A3075" s="567">
        <v>288</v>
      </c>
      <c r="B3075" s="568" t="s">
        <v>1017</v>
      </c>
      <c r="C3075" s="568" t="s">
        <v>1031</v>
      </c>
      <c r="D3075" s="567">
        <v>476</v>
      </c>
      <c r="E3075" s="567">
        <v>89</v>
      </c>
      <c r="F3075" s="567">
        <v>20</v>
      </c>
      <c r="G3075" s="567">
        <v>127</v>
      </c>
      <c r="H3075" s="567">
        <v>1200</v>
      </c>
      <c r="O3075"/>
    </row>
    <row r="3076" spans="1:15" x14ac:dyDescent="0.2">
      <c r="A3076" s="567">
        <v>3108</v>
      </c>
      <c r="B3076" s="568" t="s">
        <v>3088</v>
      </c>
      <c r="C3076" s="568" t="s">
        <v>3087</v>
      </c>
      <c r="D3076" s="567">
        <v>9001</v>
      </c>
      <c r="E3076" s="567">
        <v>114</v>
      </c>
      <c r="F3076" s="567">
        <v>14</v>
      </c>
      <c r="G3076" s="567">
        <v>437</v>
      </c>
      <c r="H3076" s="567">
        <v>4151</v>
      </c>
      <c r="O3076"/>
    </row>
    <row r="3077" spans="1:15" x14ac:dyDescent="0.2">
      <c r="A3077" s="567">
        <v>3109</v>
      </c>
      <c r="B3077" s="568" t="s">
        <v>3088</v>
      </c>
      <c r="C3077" s="568" t="s">
        <v>3096</v>
      </c>
      <c r="D3077" s="567">
        <v>9002</v>
      </c>
      <c r="E3077" s="567">
        <v>114</v>
      </c>
      <c r="F3077" s="567">
        <v>14</v>
      </c>
      <c r="G3077" s="567">
        <v>437</v>
      </c>
      <c r="H3077" s="567">
        <v>4151</v>
      </c>
      <c r="O3077"/>
    </row>
    <row r="3078" spans="1:15" x14ac:dyDescent="0.2">
      <c r="A3078" s="567">
        <v>3107</v>
      </c>
      <c r="B3078" s="568" t="s">
        <v>3088</v>
      </c>
      <c r="C3078" s="568" t="s">
        <v>3088</v>
      </c>
      <c r="D3078" s="567">
        <v>9000</v>
      </c>
      <c r="E3078" s="567">
        <v>114</v>
      </c>
      <c r="F3078" s="567">
        <v>14</v>
      </c>
      <c r="G3078" s="567">
        <v>437</v>
      </c>
      <c r="H3078" s="567">
        <v>4151</v>
      </c>
      <c r="O3078"/>
    </row>
    <row r="3079" spans="1:15" x14ac:dyDescent="0.2">
      <c r="A3079" s="567">
        <v>2068</v>
      </c>
      <c r="B3079" s="568" t="s">
        <v>2379</v>
      </c>
      <c r="C3079" s="568" t="s">
        <v>2379</v>
      </c>
      <c r="D3079" s="567">
        <v>5900</v>
      </c>
      <c r="E3079" s="567">
        <v>60</v>
      </c>
      <c r="F3079" s="567">
        <v>17</v>
      </c>
      <c r="G3079" s="567">
        <v>325</v>
      </c>
      <c r="H3079" s="567">
        <v>3160</v>
      </c>
      <c r="O3079"/>
    </row>
    <row r="3080" spans="1:15" x14ac:dyDescent="0.2">
      <c r="A3080" s="567">
        <v>2115</v>
      </c>
      <c r="B3080" s="568" t="s">
        <v>1735</v>
      </c>
      <c r="C3080" s="568" t="s">
        <v>445</v>
      </c>
      <c r="D3080" s="567">
        <v>6062</v>
      </c>
      <c r="E3080" s="567">
        <v>74</v>
      </c>
      <c r="F3080" s="567">
        <v>8</v>
      </c>
      <c r="G3080" s="567">
        <v>326</v>
      </c>
      <c r="H3080" s="567">
        <v>3100</v>
      </c>
      <c r="O3080"/>
    </row>
    <row r="3081" spans="1:15" x14ac:dyDescent="0.2">
      <c r="A3081" s="567">
        <v>2123</v>
      </c>
      <c r="B3081" s="568" t="s">
        <v>1735</v>
      </c>
      <c r="C3081" s="568" t="s">
        <v>1736</v>
      </c>
      <c r="D3081" s="567">
        <v>6070</v>
      </c>
      <c r="E3081" s="567">
        <v>74</v>
      </c>
      <c r="F3081" s="567">
        <v>8</v>
      </c>
      <c r="G3081" s="567">
        <v>326</v>
      </c>
      <c r="H3081" s="567">
        <v>3100</v>
      </c>
      <c r="O3081"/>
    </row>
    <row r="3082" spans="1:15" x14ac:dyDescent="0.2">
      <c r="A3082" s="567">
        <v>2114</v>
      </c>
      <c r="B3082" s="568" t="s">
        <v>1735</v>
      </c>
      <c r="C3082" s="568" t="s">
        <v>358</v>
      </c>
      <c r="D3082" s="567">
        <v>6061</v>
      </c>
      <c r="E3082" s="567">
        <v>74</v>
      </c>
      <c r="F3082" s="567">
        <v>8</v>
      </c>
      <c r="G3082" s="567">
        <v>326</v>
      </c>
      <c r="H3082" s="567">
        <v>3100</v>
      </c>
      <c r="O3082"/>
    </row>
    <row r="3083" spans="1:15" x14ac:dyDescent="0.2">
      <c r="A3083" s="567">
        <v>2116</v>
      </c>
      <c r="B3083" s="568" t="s">
        <v>1735</v>
      </c>
      <c r="C3083" s="568" t="s">
        <v>1745</v>
      </c>
      <c r="D3083" s="567">
        <v>6063</v>
      </c>
      <c r="E3083" s="567">
        <v>74</v>
      </c>
      <c r="F3083" s="567">
        <v>8</v>
      </c>
      <c r="G3083" s="567">
        <v>326</v>
      </c>
      <c r="H3083" s="567">
        <v>3100</v>
      </c>
      <c r="O3083"/>
    </row>
    <row r="3084" spans="1:15" x14ac:dyDescent="0.2">
      <c r="A3084" s="567">
        <v>2117</v>
      </c>
      <c r="B3084" s="568" t="s">
        <v>1735</v>
      </c>
      <c r="C3084" s="568" t="s">
        <v>1746</v>
      </c>
      <c r="D3084" s="567">
        <v>6064</v>
      </c>
      <c r="E3084" s="567">
        <v>74</v>
      </c>
      <c r="F3084" s="567">
        <v>8</v>
      </c>
      <c r="G3084" s="567">
        <v>326</v>
      </c>
      <c r="H3084" s="567">
        <v>3100</v>
      </c>
      <c r="O3084"/>
    </row>
    <row r="3085" spans="1:15" x14ac:dyDescent="0.2">
      <c r="A3085" s="567">
        <v>2118</v>
      </c>
      <c r="B3085" s="568" t="s">
        <v>1735</v>
      </c>
      <c r="C3085" s="568" t="s">
        <v>1747</v>
      </c>
      <c r="D3085" s="567">
        <v>6065</v>
      </c>
      <c r="E3085" s="567">
        <v>74</v>
      </c>
      <c r="F3085" s="567">
        <v>8</v>
      </c>
      <c r="G3085" s="567">
        <v>326</v>
      </c>
      <c r="H3085" s="567">
        <v>3100</v>
      </c>
      <c r="O3085"/>
    </row>
    <row r="3086" spans="1:15" x14ac:dyDescent="0.2">
      <c r="A3086" s="567">
        <v>2119</v>
      </c>
      <c r="B3086" s="568" t="s">
        <v>1735</v>
      </c>
      <c r="C3086" s="568" t="s">
        <v>1748</v>
      </c>
      <c r="D3086" s="567">
        <v>6066</v>
      </c>
      <c r="E3086" s="567">
        <v>74</v>
      </c>
      <c r="F3086" s="567">
        <v>8</v>
      </c>
      <c r="G3086" s="567">
        <v>326</v>
      </c>
      <c r="H3086" s="567">
        <v>3100</v>
      </c>
      <c r="O3086"/>
    </row>
    <row r="3087" spans="1:15" x14ac:dyDescent="0.2">
      <c r="A3087" s="567">
        <v>2120</v>
      </c>
      <c r="B3087" s="568" t="s">
        <v>1735</v>
      </c>
      <c r="C3087" s="568" t="s">
        <v>1749</v>
      </c>
      <c r="D3087" s="567">
        <v>6067</v>
      </c>
      <c r="E3087" s="567">
        <v>74</v>
      </c>
      <c r="F3087" s="567">
        <v>8</v>
      </c>
      <c r="G3087" s="567">
        <v>326</v>
      </c>
      <c r="H3087" s="567">
        <v>3100</v>
      </c>
      <c r="O3087"/>
    </row>
    <row r="3088" spans="1:15" x14ac:dyDescent="0.2">
      <c r="A3088" s="567">
        <v>2121</v>
      </c>
      <c r="B3088" s="568" t="s">
        <v>1735</v>
      </c>
      <c r="C3088" s="568" t="s">
        <v>1750</v>
      </c>
      <c r="D3088" s="567">
        <v>6068</v>
      </c>
      <c r="E3088" s="567">
        <v>74</v>
      </c>
      <c r="F3088" s="567">
        <v>8</v>
      </c>
      <c r="G3088" s="567">
        <v>326</v>
      </c>
      <c r="H3088" s="567">
        <v>3100</v>
      </c>
      <c r="O3088"/>
    </row>
    <row r="3089" spans="1:15" x14ac:dyDescent="0.2">
      <c r="A3089" s="567">
        <v>2122</v>
      </c>
      <c r="B3089" s="568" t="s">
        <v>1735</v>
      </c>
      <c r="C3089" s="568" t="s">
        <v>1751</v>
      </c>
      <c r="D3089" s="567">
        <v>6069</v>
      </c>
      <c r="E3089" s="567">
        <v>74</v>
      </c>
      <c r="F3089" s="567">
        <v>8</v>
      </c>
      <c r="G3089" s="567">
        <v>326</v>
      </c>
      <c r="H3089" s="567">
        <v>3100</v>
      </c>
      <c r="O3089"/>
    </row>
    <row r="3090" spans="1:15" x14ac:dyDescent="0.2">
      <c r="A3090" s="567">
        <v>2113</v>
      </c>
      <c r="B3090" s="568" t="s">
        <v>1735</v>
      </c>
      <c r="C3090" s="568" t="s">
        <v>1752</v>
      </c>
      <c r="D3090" s="567">
        <v>6060</v>
      </c>
      <c r="E3090" s="567">
        <v>74</v>
      </c>
      <c r="F3090" s="567">
        <v>8</v>
      </c>
      <c r="G3090" s="567">
        <v>326</v>
      </c>
      <c r="H3090" s="567">
        <v>3100</v>
      </c>
      <c r="O3090"/>
    </row>
    <row r="3091" spans="1:15" x14ac:dyDescent="0.2">
      <c r="A3091" s="567">
        <v>3276</v>
      </c>
      <c r="B3091" s="568" t="s">
        <v>2806</v>
      </c>
      <c r="C3091" s="568" t="s">
        <v>2806</v>
      </c>
      <c r="D3091" s="567">
        <v>9510</v>
      </c>
      <c r="E3091" s="567">
        <v>78</v>
      </c>
      <c r="F3091" s="567">
        <v>10</v>
      </c>
      <c r="G3091" s="567">
        <v>436</v>
      </c>
      <c r="H3091" s="567">
        <v>4120</v>
      </c>
      <c r="O3091"/>
    </row>
    <row r="3092" spans="1:15" x14ac:dyDescent="0.2">
      <c r="A3092" s="567">
        <v>1878</v>
      </c>
      <c r="B3092" s="568" t="s">
        <v>1916</v>
      </c>
      <c r="C3092" s="568" t="s">
        <v>1915</v>
      </c>
      <c r="D3092" s="567">
        <v>5261</v>
      </c>
      <c r="E3092" s="567">
        <v>133</v>
      </c>
      <c r="F3092" s="567">
        <v>3</v>
      </c>
      <c r="G3092" s="567">
        <v>315</v>
      </c>
      <c r="H3092" s="567">
        <v>3120</v>
      </c>
      <c r="O3092"/>
    </row>
    <row r="3093" spans="1:15" x14ac:dyDescent="0.2">
      <c r="A3093" s="567">
        <v>1879</v>
      </c>
      <c r="B3093" s="568" t="s">
        <v>1916</v>
      </c>
      <c r="C3093" s="568" t="s">
        <v>1917</v>
      </c>
      <c r="D3093" s="567">
        <v>5262</v>
      </c>
      <c r="E3093" s="567">
        <v>133</v>
      </c>
      <c r="F3093" s="567">
        <v>3</v>
      </c>
      <c r="G3093" s="567">
        <v>315</v>
      </c>
      <c r="H3093" s="567">
        <v>3120</v>
      </c>
      <c r="O3093"/>
    </row>
    <row r="3094" spans="1:15" x14ac:dyDescent="0.2">
      <c r="A3094" s="567">
        <v>1880</v>
      </c>
      <c r="B3094" s="568" t="s">
        <v>1916</v>
      </c>
      <c r="C3094" s="568" t="s">
        <v>1918</v>
      </c>
      <c r="D3094" s="567">
        <v>5263</v>
      </c>
      <c r="E3094" s="567">
        <v>133</v>
      </c>
      <c r="F3094" s="567">
        <v>3</v>
      </c>
      <c r="G3094" s="567">
        <v>315</v>
      </c>
      <c r="H3094" s="567">
        <v>3120</v>
      </c>
      <c r="O3094"/>
    </row>
    <row r="3095" spans="1:15" x14ac:dyDescent="0.2">
      <c r="A3095" s="567">
        <v>1881</v>
      </c>
      <c r="B3095" s="568" t="s">
        <v>1916</v>
      </c>
      <c r="C3095" s="568" t="s">
        <v>1919</v>
      </c>
      <c r="D3095" s="567">
        <v>5264</v>
      </c>
      <c r="E3095" s="567">
        <v>133</v>
      </c>
      <c r="F3095" s="567">
        <v>3</v>
      </c>
      <c r="G3095" s="567">
        <v>315</v>
      </c>
      <c r="H3095" s="567">
        <v>3120</v>
      </c>
      <c r="O3095"/>
    </row>
    <row r="3096" spans="1:15" x14ac:dyDescent="0.2">
      <c r="A3096" s="567">
        <v>1882</v>
      </c>
      <c r="B3096" s="568" t="s">
        <v>1916</v>
      </c>
      <c r="C3096" s="568" t="s">
        <v>1920</v>
      </c>
      <c r="D3096" s="567">
        <v>5265</v>
      </c>
      <c r="E3096" s="567">
        <v>133</v>
      </c>
      <c r="F3096" s="567">
        <v>3</v>
      </c>
      <c r="G3096" s="567">
        <v>315</v>
      </c>
      <c r="H3096" s="567">
        <v>3120</v>
      </c>
      <c r="O3096"/>
    </row>
    <row r="3097" spans="1:15" x14ac:dyDescent="0.2">
      <c r="A3097" s="567">
        <v>1883</v>
      </c>
      <c r="B3097" s="568" t="s">
        <v>1916</v>
      </c>
      <c r="C3097" s="568" t="s">
        <v>1921</v>
      </c>
      <c r="D3097" s="567">
        <v>5266</v>
      </c>
      <c r="E3097" s="567">
        <v>133</v>
      </c>
      <c r="F3097" s="567">
        <v>3</v>
      </c>
      <c r="G3097" s="567">
        <v>315</v>
      </c>
      <c r="H3097" s="567">
        <v>3120</v>
      </c>
      <c r="O3097"/>
    </row>
    <row r="3098" spans="1:15" x14ac:dyDescent="0.2">
      <c r="A3098" s="567">
        <v>1877</v>
      </c>
      <c r="B3098" s="568" t="s">
        <v>1916</v>
      </c>
      <c r="C3098" s="568" t="s">
        <v>1945</v>
      </c>
      <c r="D3098" s="567">
        <v>5260</v>
      </c>
      <c r="E3098" s="567">
        <v>133</v>
      </c>
      <c r="F3098" s="567">
        <v>3</v>
      </c>
      <c r="G3098" s="567">
        <v>315</v>
      </c>
      <c r="H3098" s="567">
        <v>3120</v>
      </c>
      <c r="O3098"/>
    </row>
    <row r="3099" spans="1:15" x14ac:dyDescent="0.2">
      <c r="A3099" s="567">
        <v>2134</v>
      </c>
      <c r="B3099" s="568" t="s">
        <v>1797</v>
      </c>
      <c r="C3099" s="568" t="s">
        <v>1797</v>
      </c>
      <c r="D3099" s="567">
        <v>6120</v>
      </c>
      <c r="E3099" s="567">
        <v>68</v>
      </c>
      <c r="F3099" s="567">
        <v>6</v>
      </c>
      <c r="G3099" s="567">
        <v>326</v>
      </c>
      <c r="H3099" s="567">
        <v>3100</v>
      </c>
      <c r="O3099"/>
    </row>
    <row r="3100" spans="1:15" x14ac:dyDescent="0.2">
      <c r="A3100" s="567">
        <v>2135</v>
      </c>
      <c r="B3100" s="568" t="s">
        <v>1797</v>
      </c>
      <c r="C3100" s="568" t="s">
        <v>1798</v>
      </c>
      <c r="D3100" s="567">
        <v>6121</v>
      </c>
      <c r="E3100" s="567">
        <v>68</v>
      </c>
      <c r="F3100" s="567">
        <v>6</v>
      </c>
      <c r="G3100" s="567">
        <v>326</v>
      </c>
      <c r="H3100" s="567">
        <v>3100</v>
      </c>
      <c r="O3100"/>
    </row>
    <row r="3101" spans="1:15" x14ac:dyDescent="0.2">
      <c r="A3101" s="567">
        <v>2136</v>
      </c>
      <c r="B3101" s="568" t="s">
        <v>1797</v>
      </c>
      <c r="C3101" s="568" t="s">
        <v>1799</v>
      </c>
      <c r="D3101" s="567">
        <v>6122</v>
      </c>
      <c r="E3101" s="567">
        <v>68</v>
      </c>
      <c r="F3101" s="567">
        <v>6</v>
      </c>
      <c r="G3101" s="567">
        <v>326</v>
      </c>
      <c r="H3101" s="567">
        <v>3100</v>
      </c>
      <c r="O3101"/>
    </row>
    <row r="3102" spans="1:15" x14ac:dyDescent="0.2">
      <c r="A3102" s="567">
        <v>2137</v>
      </c>
      <c r="B3102" s="568" t="s">
        <v>1797</v>
      </c>
      <c r="C3102" s="568" t="s">
        <v>1801</v>
      </c>
      <c r="D3102" s="567">
        <v>6123</v>
      </c>
      <c r="E3102" s="567">
        <v>68</v>
      </c>
      <c r="F3102" s="567">
        <v>6</v>
      </c>
      <c r="G3102" s="567">
        <v>326</v>
      </c>
      <c r="H3102" s="567">
        <v>3100</v>
      </c>
      <c r="O3102"/>
    </row>
    <row r="3103" spans="1:15" x14ac:dyDescent="0.2">
      <c r="A3103" s="567">
        <v>2029</v>
      </c>
      <c r="B3103" s="568" t="s">
        <v>2393</v>
      </c>
      <c r="C3103" s="568" t="s">
        <v>2393</v>
      </c>
      <c r="D3103" s="567">
        <v>5760</v>
      </c>
      <c r="E3103" s="567">
        <v>61</v>
      </c>
      <c r="F3103" s="567">
        <v>17</v>
      </c>
      <c r="G3103" s="567">
        <v>325</v>
      </c>
      <c r="H3103" s="567">
        <v>3160</v>
      </c>
      <c r="O3103"/>
    </row>
    <row r="3104" spans="1:15" x14ac:dyDescent="0.2">
      <c r="A3104" s="567">
        <v>2030</v>
      </c>
      <c r="B3104" s="568" t="s">
        <v>2393</v>
      </c>
      <c r="C3104" s="568" t="s">
        <v>2394</v>
      </c>
      <c r="D3104" s="567">
        <v>5761</v>
      </c>
      <c r="E3104" s="567">
        <v>61</v>
      </c>
      <c r="F3104" s="567">
        <v>17</v>
      </c>
      <c r="G3104" s="567">
        <v>325</v>
      </c>
      <c r="H3104" s="567">
        <v>3160</v>
      </c>
      <c r="O3104"/>
    </row>
    <row r="3105" spans="1:15" x14ac:dyDescent="0.2">
      <c r="A3105" s="567">
        <v>2290</v>
      </c>
      <c r="B3105" s="568" t="s">
        <v>2345</v>
      </c>
      <c r="C3105" s="568" t="s">
        <v>2345</v>
      </c>
      <c r="D3105" s="567">
        <v>6610</v>
      </c>
      <c r="E3105" s="567">
        <v>81</v>
      </c>
      <c r="F3105" s="567">
        <v>4</v>
      </c>
      <c r="G3105" s="567">
        <v>335</v>
      </c>
      <c r="H3105" s="567">
        <v>3151</v>
      </c>
      <c r="O3105"/>
    </row>
    <row r="3106" spans="1:15" x14ac:dyDescent="0.2">
      <c r="A3106" s="567">
        <v>1876</v>
      </c>
      <c r="B3106" s="568" t="s">
        <v>1825</v>
      </c>
      <c r="C3106" s="568" t="s">
        <v>1825</v>
      </c>
      <c r="D3106" s="567">
        <v>5240</v>
      </c>
      <c r="E3106" s="567">
        <v>45</v>
      </c>
      <c r="F3106" s="567">
        <v>3</v>
      </c>
      <c r="G3106" s="567">
        <v>316</v>
      </c>
      <c r="H3106" s="567">
        <v>3110</v>
      </c>
      <c r="O3106"/>
    </row>
    <row r="3107" spans="1:15" x14ac:dyDescent="0.2">
      <c r="A3107" s="567">
        <v>1242</v>
      </c>
      <c r="B3107" s="568" t="s">
        <v>1287</v>
      </c>
      <c r="C3107" s="568" t="s">
        <v>1287</v>
      </c>
      <c r="D3107" s="567">
        <v>3350</v>
      </c>
      <c r="E3107" s="567">
        <v>106</v>
      </c>
      <c r="F3107" s="567">
        <v>3</v>
      </c>
      <c r="G3107" s="567">
        <v>215</v>
      </c>
      <c r="H3107" s="567">
        <v>2121</v>
      </c>
      <c r="O3107"/>
    </row>
    <row r="3108" spans="1:15" x14ac:dyDescent="0.2">
      <c r="A3108" s="567">
        <v>1243</v>
      </c>
      <c r="B3108" s="568" t="s">
        <v>1287</v>
      </c>
      <c r="C3108" s="568" t="s">
        <v>1288</v>
      </c>
      <c r="D3108" s="567">
        <v>3351</v>
      </c>
      <c r="E3108" s="567">
        <v>106</v>
      </c>
      <c r="F3108" s="567">
        <v>3</v>
      </c>
      <c r="G3108" s="567">
        <v>215</v>
      </c>
      <c r="H3108" s="567">
        <v>2121</v>
      </c>
      <c r="O3108"/>
    </row>
    <row r="3109" spans="1:15" x14ac:dyDescent="0.2">
      <c r="A3109" s="567">
        <v>1244</v>
      </c>
      <c r="B3109" s="568" t="s">
        <v>1287</v>
      </c>
      <c r="C3109" s="568" t="s">
        <v>1289</v>
      </c>
      <c r="D3109" s="567">
        <v>3352</v>
      </c>
      <c r="E3109" s="567">
        <v>106</v>
      </c>
      <c r="F3109" s="567">
        <v>3</v>
      </c>
      <c r="G3109" s="567">
        <v>215</v>
      </c>
      <c r="H3109" s="567">
        <v>2121</v>
      </c>
      <c r="O3109"/>
    </row>
    <row r="3110" spans="1:15" x14ac:dyDescent="0.2">
      <c r="A3110" s="567">
        <v>613</v>
      </c>
      <c r="B3110" s="568" t="s">
        <v>175</v>
      </c>
      <c r="C3110" s="568" t="s">
        <v>174</v>
      </c>
      <c r="D3110" s="567">
        <v>1345</v>
      </c>
      <c r="E3110" s="567">
        <v>79</v>
      </c>
      <c r="F3110" s="567">
        <v>1</v>
      </c>
      <c r="G3110" s="567">
        <v>119</v>
      </c>
      <c r="H3110" s="567">
        <v>1110</v>
      </c>
      <c r="O3110"/>
    </row>
    <row r="3111" spans="1:15" x14ac:dyDescent="0.2">
      <c r="A3111" s="567">
        <v>612</v>
      </c>
      <c r="B3111" s="568" t="s">
        <v>175</v>
      </c>
      <c r="C3111" s="568" t="s">
        <v>176</v>
      </c>
      <c r="D3111" s="567">
        <v>1344</v>
      </c>
      <c r="E3111" s="567">
        <v>79</v>
      </c>
      <c r="F3111" s="567">
        <v>1</v>
      </c>
      <c r="G3111" s="567">
        <v>119</v>
      </c>
      <c r="H3111" s="567">
        <v>1110</v>
      </c>
      <c r="O3111"/>
    </row>
    <row r="3112" spans="1:15" x14ac:dyDescent="0.2">
      <c r="A3112" s="567">
        <v>611</v>
      </c>
      <c r="B3112" s="568" t="s">
        <v>175</v>
      </c>
      <c r="C3112" s="568" t="s">
        <v>177</v>
      </c>
      <c r="D3112" s="567">
        <v>1343</v>
      </c>
      <c r="E3112" s="567">
        <v>79</v>
      </c>
      <c r="F3112" s="567">
        <v>1</v>
      </c>
      <c r="G3112" s="567">
        <v>119</v>
      </c>
      <c r="H3112" s="567">
        <v>1110</v>
      </c>
      <c r="O3112"/>
    </row>
    <row r="3113" spans="1:15" x14ac:dyDescent="0.2">
      <c r="A3113" s="567">
        <v>610</v>
      </c>
      <c r="B3113" s="568" t="s">
        <v>175</v>
      </c>
      <c r="C3113" s="568" t="s">
        <v>178</v>
      </c>
      <c r="D3113" s="567">
        <v>1342</v>
      </c>
      <c r="E3113" s="567">
        <v>79</v>
      </c>
      <c r="F3113" s="567">
        <v>1</v>
      </c>
      <c r="G3113" s="567">
        <v>119</v>
      </c>
      <c r="H3113" s="567">
        <v>1110</v>
      </c>
      <c r="O3113"/>
    </row>
    <row r="3114" spans="1:15" x14ac:dyDescent="0.2">
      <c r="A3114" s="567">
        <v>609</v>
      </c>
      <c r="B3114" s="568" t="s">
        <v>175</v>
      </c>
      <c r="C3114" s="568" t="s">
        <v>179</v>
      </c>
      <c r="D3114" s="567">
        <v>1341</v>
      </c>
      <c r="E3114" s="567">
        <v>79</v>
      </c>
      <c r="F3114" s="567">
        <v>1</v>
      </c>
      <c r="G3114" s="567">
        <v>119</v>
      </c>
      <c r="H3114" s="567">
        <v>1110</v>
      </c>
      <c r="O3114"/>
    </row>
    <row r="3115" spans="1:15" x14ac:dyDescent="0.2">
      <c r="A3115" s="567">
        <v>608</v>
      </c>
      <c r="B3115" s="568" t="s">
        <v>175</v>
      </c>
      <c r="C3115" s="568" t="s">
        <v>175</v>
      </c>
      <c r="D3115" s="567">
        <v>1340</v>
      </c>
      <c r="E3115" s="567">
        <v>79</v>
      </c>
      <c r="F3115" s="567">
        <v>1</v>
      </c>
      <c r="G3115" s="567">
        <v>119</v>
      </c>
      <c r="H3115" s="567">
        <v>1110</v>
      </c>
      <c r="O3115"/>
    </row>
    <row r="3116" spans="1:15" x14ac:dyDescent="0.2">
      <c r="A3116" s="567">
        <v>1198</v>
      </c>
      <c r="B3116" s="568" t="s">
        <v>1445</v>
      </c>
      <c r="C3116" s="568" t="s">
        <v>1445</v>
      </c>
      <c r="D3116" s="567">
        <v>3190</v>
      </c>
      <c r="E3116" s="567">
        <v>91</v>
      </c>
      <c r="F3116" s="567">
        <v>2</v>
      </c>
      <c r="G3116" s="567">
        <v>226</v>
      </c>
      <c r="H3116" s="567">
        <v>2130</v>
      </c>
      <c r="O3116"/>
    </row>
    <row r="3117" spans="1:15" x14ac:dyDescent="0.2">
      <c r="A3117" s="567">
        <v>1199</v>
      </c>
      <c r="B3117" s="568" t="s">
        <v>1445</v>
      </c>
      <c r="C3117" s="568" t="s">
        <v>1446</v>
      </c>
      <c r="D3117" s="567">
        <v>3191</v>
      </c>
      <c r="E3117" s="567">
        <v>91</v>
      </c>
      <c r="F3117" s="567">
        <v>2</v>
      </c>
      <c r="G3117" s="567">
        <v>226</v>
      </c>
      <c r="H3117" s="567">
        <v>2130</v>
      </c>
      <c r="O3117"/>
    </row>
    <row r="3118" spans="1:15" x14ac:dyDescent="0.2">
      <c r="A3118" s="567">
        <v>2988</v>
      </c>
      <c r="B3118" s="568" t="s">
        <v>2680</v>
      </c>
      <c r="C3118" s="568" t="s">
        <v>2680</v>
      </c>
      <c r="D3118" s="567">
        <v>8610</v>
      </c>
      <c r="E3118" s="567">
        <v>125</v>
      </c>
      <c r="F3118" s="567">
        <v>11</v>
      </c>
      <c r="G3118" s="567">
        <v>426</v>
      </c>
      <c r="H3118" s="567">
        <v>4110</v>
      </c>
      <c r="O3118"/>
    </row>
    <row r="3119" spans="1:15" x14ac:dyDescent="0.2">
      <c r="A3119" s="567">
        <v>3215</v>
      </c>
      <c r="B3119" s="568" t="s">
        <v>3047</v>
      </c>
      <c r="C3119" s="568" t="s">
        <v>3046</v>
      </c>
      <c r="D3119" s="567">
        <v>9245</v>
      </c>
      <c r="E3119" s="567">
        <v>118</v>
      </c>
      <c r="F3119" s="567">
        <v>11</v>
      </c>
      <c r="G3119" s="567">
        <v>437</v>
      </c>
      <c r="H3119" s="567">
        <v>4151</v>
      </c>
      <c r="O3119"/>
    </row>
    <row r="3120" spans="1:15" x14ac:dyDescent="0.2">
      <c r="A3120" s="567">
        <v>3210</v>
      </c>
      <c r="B3120" s="568" t="s">
        <v>3047</v>
      </c>
      <c r="C3120" s="568" t="s">
        <v>3047</v>
      </c>
      <c r="D3120" s="567">
        <v>9240</v>
      </c>
      <c r="E3120" s="567">
        <v>118</v>
      </c>
      <c r="F3120" s="567">
        <v>11</v>
      </c>
      <c r="G3120" s="567">
        <v>437</v>
      </c>
      <c r="H3120" s="567">
        <v>4151</v>
      </c>
      <c r="O3120"/>
    </row>
    <row r="3121" spans="1:15" x14ac:dyDescent="0.2">
      <c r="A3121" s="567">
        <v>3211</v>
      </c>
      <c r="B3121" s="568" t="s">
        <v>3047</v>
      </c>
      <c r="C3121" s="568" t="s">
        <v>3053</v>
      </c>
      <c r="D3121" s="567">
        <v>9241</v>
      </c>
      <c r="E3121" s="567">
        <v>118</v>
      </c>
      <c r="F3121" s="567">
        <v>11</v>
      </c>
      <c r="G3121" s="567">
        <v>437</v>
      </c>
      <c r="H3121" s="567">
        <v>4151</v>
      </c>
      <c r="O3121"/>
    </row>
    <row r="3122" spans="1:15" x14ac:dyDescent="0.2">
      <c r="A3122" s="567">
        <v>3212</v>
      </c>
      <c r="B3122" s="568" t="s">
        <v>3047</v>
      </c>
      <c r="C3122" s="568" t="s">
        <v>3054</v>
      </c>
      <c r="D3122" s="567">
        <v>9242</v>
      </c>
      <c r="E3122" s="567">
        <v>118</v>
      </c>
      <c r="F3122" s="567">
        <v>11</v>
      </c>
      <c r="G3122" s="567">
        <v>437</v>
      </c>
      <c r="H3122" s="567">
        <v>4151</v>
      </c>
      <c r="O3122"/>
    </row>
    <row r="3123" spans="1:15" x14ac:dyDescent="0.2">
      <c r="A3123" s="567">
        <v>3214</v>
      </c>
      <c r="B3123" s="568" t="s">
        <v>3047</v>
      </c>
      <c r="C3123" s="568" t="s">
        <v>3055</v>
      </c>
      <c r="D3123" s="567">
        <v>9244</v>
      </c>
      <c r="E3123" s="567">
        <v>118</v>
      </c>
      <c r="F3123" s="567">
        <v>11</v>
      </c>
      <c r="G3123" s="567">
        <v>437</v>
      </c>
      <c r="H3123" s="567">
        <v>4151</v>
      </c>
      <c r="O3123"/>
    </row>
    <row r="3124" spans="1:15" x14ac:dyDescent="0.2">
      <c r="A3124" s="567">
        <v>3216</v>
      </c>
      <c r="B3124" s="568" t="s">
        <v>3047</v>
      </c>
      <c r="C3124" s="568" t="s">
        <v>3056</v>
      </c>
      <c r="D3124" s="567">
        <v>9246</v>
      </c>
      <c r="E3124" s="567">
        <v>118</v>
      </c>
      <c r="F3124" s="567">
        <v>11</v>
      </c>
      <c r="G3124" s="567">
        <v>437</v>
      </c>
      <c r="H3124" s="567">
        <v>4151</v>
      </c>
      <c r="O3124"/>
    </row>
    <row r="3125" spans="1:15" x14ac:dyDescent="0.2">
      <c r="A3125" s="567">
        <v>3217</v>
      </c>
      <c r="B3125" s="568" t="s">
        <v>3047</v>
      </c>
      <c r="C3125" s="568" t="s">
        <v>3057</v>
      </c>
      <c r="D3125" s="567">
        <v>9247</v>
      </c>
      <c r="E3125" s="567">
        <v>118</v>
      </c>
      <c r="F3125" s="567">
        <v>11</v>
      </c>
      <c r="G3125" s="567">
        <v>437</v>
      </c>
      <c r="H3125" s="567">
        <v>4151</v>
      </c>
      <c r="O3125"/>
    </row>
    <row r="3126" spans="1:15" x14ac:dyDescent="0.2">
      <c r="A3126" s="567">
        <v>3218</v>
      </c>
      <c r="B3126" s="568" t="s">
        <v>3047</v>
      </c>
      <c r="C3126" s="568" t="s">
        <v>3058</v>
      </c>
      <c r="D3126" s="567">
        <v>9248</v>
      </c>
      <c r="E3126" s="567">
        <v>118</v>
      </c>
      <c r="F3126" s="567">
        <v>11</v>
      </c>
      <c r="G3126" s="567">
        <v>437</v>
      </c>
      <c r="H3126" s="567">
        <v>4151</v>
      </c>
      <c r="O3126"/>
    </row>
    <row r="3127" spans="1:15" x14ac:dyDescent="0.2">
      <c r="A3127" s="567">
        <v>3219</v>
      </c>
      <c r="B3127" s="568" t="s">
        <v>3047</v>
      </c>
      <c r="C3127" s="568" t="s">
        <v>3059</v>
      </c>
      <c r="D3127" s="567">
        <v>9249</v>
      </c>
      <c r="E3127" s="567">
        <v>118</v>
      </c>
      <c r="F3127" s="567">
        <v>11</v>
      </c>
      <c r="G3127" s="567">
        <v>437</v>
      </c>
      <c r="H3127" s="567">
        <v>4151</v>
      </c>
      <c r="O3127"/>
    </row>
    <row r="3128" spans="1:15" x14ac:dyDescent="0.2">
      <c r="A3128" s="567">
        <v>3213</v>
      </c>
      <c r="B3128" s="568" t="s">
        <v>3047</v>
      </c>
      <c r="C3128" s="568" t="s">
        <v>1737</v>
      </c>
      <c r="D3128" s="567">
        <v>9243</v>
      </c>
      <c r="E3128" s="567">
        <v>118</v>
      </c>
      <c r="F3128" s="567">
        <v>11</v>
      </c>
      <c r="G3128" s="567">
        <v>437</v>
      </c>
      <c r="H3128" s="567">
        <v>4151</v>
      </c>
      <c r="O3128"/>
    </row>
    <row r="3129" spans="1:15" x14ac:dyDescent="0.2">
      <c r="A3129" s="567">
        <v>1607</v>
      </c>
      <c r="B3129" s="568" t="s">
        <v>1190</v>
      </c>
      <c r="C3129" s="568" t="s">
        <v>1189</v>
      </c>
      <c r="D3129" s="567">
        <v>4419</v>
      </c>
      <c r="E3129" s="567">
        <v>74</v>
      </c>
      <c r="F3129" s="567">
        <v>7</v>
      </c>
      <c r="G3129" s="567">
        <v>237</v>
      </c>
      <c r="H3129" s="567">
        <v>2110</v>
      </c>
      <c r="O3129"/>
    </row>
    <row r="3130" spans="1:15" x14ac:dyDescent="0.2">
      <c r="A3130" s="567">
        <v>1606</v>
      </c>
      <c r="B3130" s="568" t="s">
        <v>1190</v>
      </c>
      <c r="C3130" s="568" t="s">
        <v>1192</v>
      </c>
      <c r="D3130" s="567">
        <v>4418</v>
      </c>
      <c r="E3130" s="567">
        <v>74</v>
      </c>
      <c r="F3130" s="567">
        <v>7</v>
      </c>
      <c r="G3130" s="567">
        <v>237</v>
      </c>
      <c r="H3130" s="567">
        <v>2110</v>
      </c>
      <c r="O3130"/>
    </row>
    <row r="3131" spans="1:15" x14ac:dyDescent="0.2">
      <c r="A3131" s="567">
        <v>1605</v>
      </c>
      <c r="B3131" s="568" t="s">
        <v>1190</v>
      </c>
      <c r="C3131" s="568" t="s">
        <v>1193</v>
      </c>
      <c r="D3131" s="567">
        <v>4417</v>
      </c>
      <c r="E3131" s="567">
        <v>74</v>
      </c>
      <c r="F3131" s="567">
        <v>7</v>
      </c>
      <c r="G3131" s="567">
        <v>237</v>
      </c>
      <c r="H3131" s="567">
        <v>2110</v>
      </c>
      <c r="O3131"/>
    </row>
    <row r="3132" spans="1:15" x14ac:dyDescent="0.2">
      <c r="A3132" s="567">
        <v>1604</v>
      </c>
      <c r="B3132" s="568" t="s">
        <v>1190</v>
      </c>
      <c r="C3132" s="568" t="s">
        <v>1194</v>
      </c>
      <c r="D3132" s="567">
        <v>4416</v>
      </c>
      <c r="E3132" s="567">
        <v>74</v>
      </c>
      <c r="F3132" s="567">
        <v>7</v>
      </c>
      <c r="G3132" s="567">
        <v>237</v>
      </c>
      <c r="H3132" s="567">
        <v>2110</v>
      </c>
      <c r="O3132"/>
    </row>
    <row r="3133" spans="1:15" x14ac:dyDescent="0.2">
      <c r="A3133" s="567">
        <v>1603</v>
      </c>
      <c r="B3133" s="568" t="s">
        <v>1190</v>
      </c>
      <c r="C3133" s="568" t="s">
        <v>1239</v>
      </c>
      <c r="D3133" s="567">
        <v>4415</v>
      </c>
      <c r="E3133" s="567">
        <v>74</v>
      </c>
      <c r="F3133" s="567">
        <v>7</v>
      </c>
      <c r="G3133" s="567">
        <v>237</v>
      </c>
      <c r="H3133" s="567">
        <v>2110</v>
      </c>
      <c r="O3133"/>
    </row>
    <row r="3134" spans="1:15" x14ac:dyDescent="0.2">
      <c r="A3134" s="567">
        <v>1320</v>
      </c>
      <c r="B3134" s="568" t="s">
        <v>1314</v>
      </c>
      <c r="C3134" s="568" t="s">
        <v>1313</v>
      </c>
      <c r="D3134" s="567">
        <v>3575</v>
      </c>
      <c r="E3134" s="567">
        <v>110</v>
      </c>
      <c r="F3134" s="567">
        <v>2</v>
      </c>
      <c r="G3134" s="567">
        <v>215</v>
      </c>
      <c r="H3134" s="567">
        <v>2121</v>
      </c>
      <c r="O3134"/>
    </row>
    <row r="3135" spans="1:15" x14ac:dyDescent="0.2">
      <c r="A3135" s="567">
        <v>1321</v>
      </c>
      <c r="B3135" s="568" t="s">
        <v>1314</v>
      </c>
      <c r="C3135" s="568" t="s">
        <v>1315</v>
      </c>
      <c r="D3135" s="567">
        <v>3576</v>
      </c>
      <c r="E3135" s="567">
        <v>110</v>
      </c>
      <c r="F3135" s="567">
        <v>2</v>
      </c>
      <c r="G3135" s="567">
        <v>215</v>
      </c>
      <c r="H3135" s="567">
        <v>2121</v>
      </c>
      <c r="O3135"/>
    </row>
    <row r="3136" spans="1:15" x14ac:dyDescent="0.2">
      <c r="A3136" s="567">
        <v>1322</v>
      </c>
      <c r="B3136" s="568" t="s">
        <v>1314</v>
      </c>
      <c r="C3136" s="568" t="s">
        <v>167</v>
      </c>
      <c r="D3136" s="567">
        <v>3577</v>
      </c>
      <c r="E3136" s="567">
        <v>110</v>
      </c>
      <c r="F3136" s="567">
        <v>2</v>
      </c>
      <c r="G3136" s="567">
        <v>215</v>
      </c>
      <c r="H3136" s="567">
        <v>2121</v>
      </c>
      <c r="O3136"/>
    </row>
    <row r="3137" spans="1:15" x14ac:dyDescent="0.2">
      <c r="A3137" s="567">
        <v>1084</v>
      </c>
      <c r="B3137" s="568" t="s">
        <v>1458</v>
      </c>
      <c r="C3137" s="568" t="s">
        <v>1457</v>
      </c>
      <c r="D3137" s="567">
        <v>2796</v>
      </c>
      <c r="E3137" s="567">
        <v>118</v>
      </c>
      <c r="F3137" s="567">
        <v>19</v>
      </c>
      <c r="G3137" s="567">
        <v>225</v>
      </c>
      <c r="H3137" s="567">
        <v>2140</v>
      </c>
      <c r="O3137"/>
    </row>
    <row r="3138" spans="1:15" x14ac:dyDescent="0.2">
      <c r="A3138" s="567">
        <v>1088</v>
      </c>
      <c r="B3138" s="568" t="s">
        <v>1458</v>
      </c>
      <c r="C3138" s="568" t="s">
        <v>1469</v>
      </c>
      <c r="D3138" s="567">
        <v>2800</v>
      </c>
      <c r="E3138" s="567">
        <v>118</v>
      </c>
      <c r="F3138" s="567">
        <v>19</v>
      </c>
      <c r="G3138" s="567">
        <v>225</v>
      </c>
      <c r="H3138" s="567">
        <v>2140</v>
      </c>
      <c r="O3138"/>
    </row>
    <row r="3139" spans="1:15" x14ac:dyDescent="0.2">
      <c r="A3139" s="567">
        <v>1087</v>
      </c>
      <c r="B3139" s="568" t="s">
        <v>1458</v>
      </c>
      <c r="C3139" s="568" t="s">
        <v>1470</v>
      </c>
      <c r="D3139" s="567">
        <v>2799</v>
      </c>
      <c r="E3139" s="567">
        <v>118</v>
      </c>
      <c r="F3139" s="567">
        <v>19</v>
      </c>
      <c r="G3139" s="567">
        <v>225</v>
      </c>
      <c r="H3139" s="567">
        <v>2140</v>
      </c>
      <c r="O3139"/>
    </row>
    <row r="3140" spans="1:15" x14ac:dyDescent="0.2">
      <c r="A3140" s="567">
        <v>1085</v>
      </c>
      <c r="B3140" s="568" t="s">
        <v>1458</v>
      </c>
      <c r="C3140" s="568" t="s">
        <v>1472</v>
      </c>
      <c r="D3140" s="567">
        <v>2797</v>
      </c>
      <c r="E3140" s="567">
        <v>118</v>
      </c>
      <c r="F3140" s="567">
        <v>19</v>
      </c>
      <c r="G3140" s="567">
        <v>225</v>
      </c>
      <c r="H3140" s="567">
        <v>2140</v>
      </c>
      <c r="O3140"/>
    </row>
    <row r="3141" spans="1:15" x14ac:dyDescent="0.2">
      <c r="A3141" s="567">
        <v>1083</v>
      </c>
      <c r="B3141" s="568" t="s">
        <v>1458</v>
      </c>
      <c r="C3141" s="568" t="s">
        <v>1473</v>
      </c>
      <c r="D3141" s="567">
        <v>2795</v>
      </c>
      <c r="E3141" s="567">
        <v>118</v>
      </c>
      <c r="F3141" s="567">
        <v>19</v>
      </c>
      <c r="G3141" s="567">
        <v>225</v>
      </c>
      <c r="H3141" s="567">
        <v>2140</v>
      </c>
      <c r="O3141"/>
    </row>
    <row r="3142" spans="1:15" x14ac:dyDescent="0.2">
      <c r="A3142" s="567">
        <v>1086</v>
      </c>
      <c r="B3142" s="568" t="s">
        <v>1458</v>
      </c>
      <c r="C3142" s="568" t="s">
        <v>1485</v>
      </c>
      <c r="D3142" s="567">
        <v>2798</v>
      </c>
      <c r="E3142" s="567">
        <v>118</v>
      </c>
      <c r="F3142" s="567">
        <v>19</v>
      </c>
      <c r="G3142" s="567">
        <v>225</v>
      </c>
      <c r="H3142" s="567">
        <v>2140</v>
      </c>
      <c r="O3142"/>
    </row>
    <row r="3143" spans="1:15" x14ac:dyDescent="0.2">
      <c r="A3143" s="567">
        <v>3298</v>
      </c>
      <c r="B3143" s="568" t="s">
        <v>2831</v>
      </c>
      <c r="C3143" s="568" t="s">
        <v>2831</v>
      </c>
      <c r="D3143" s="567">
        <v>9615</v>
      </c>
      <c r="E3143" s="567">
        <v>79</v>
      </c>
      <c r="F3143" s="567">
        <v>10</v>
      </c>
      <c r="G3143" s="567">
        <v>436</v>
      </c>
      <c r="H3143" s="567">
        <v>4120</v>
      </c>
      <c r="O3143"/>
    </row>
    <row r="3144" spans="1:15" x14ac:dyDescent="0.2">
      <c r="A3144" s="567">
        <v>2637</v>
      </c>
      <c r="B3144" s="568" t="s">
        <v>2950</v>
      </c>
      <c r="C3144" s="568" t="s">
        <v>1714</v>
      </c>
      <c r="D3144" s="567">
        <v>7591</v>
      </c>
      <c r="E3144" s="567">
        <v>87</v>
      </c>
      <c r="F3144" s="567">
        <v>2</v>
      </c>
      <c r="G3144" s="567">
        <v>415</v>
      </c>
      <c r="H3144" s="567">
        <v>4131</v>
      </c>
      <c r="O3144"/>
    </row>
    <row r="3145" spans="1:15" x14ac:dyDescent="0.2">
      <c r="A3145" s="567">
        <v>2636</v>
      </c>
      <c r="B3145" s="568" t="s">
        <v>2950</v>
      </c>
      <c r="C3145" s="568" t="s">
        <v>2953</v>
      </c>
      <c r="D3145" s="567">
        <v>7590</v>
      </c>
      <c r="E3145" s="567">
        <v>87</v>
      </c>
      <c r="F3145" s="567">
        <v>2</v>
      </c>
      <c r="G3145" s="567">
        <v>415</v>
      </c>
      <c r="H3145" s="567">
        <v>4131</v>
      </c>
      <c r="O3145"/>
    </row>
    <row r="3146" spans="1:15" x14ac:dyDescent="0.2">
      <c r="A3146" s="567">
        <v>709</v>
      </c>
      <c r="B3146" s="568" t="s">
        <v>692</v>
      </c>
      <c r="C3146" s="568" t="s">
        <v>692</v>
      </c>
      <c r="D3146" s="567">
        <v>1595</v>
      </c>
      <c r="E3146" s="567">
        <v>48</v>
      </c>
      <c r="F3146" s="567">
        <v>2</v>
      </c>
      <c r="G3146" s="567">
        <v>115</v>
      </c>
      <c r="H3146" s="567">
        <v>1161</v>
      </c>
      <c r="O3146"/>
    </row>
    <row r="3147" spans="1:15" x14ac:dyDescent="0.2">
      <c r="A3147" s="567">
        <v>210</v>
      </c>
      <c r="B3147" s="568" t="s">
        <v>923</v>
      </c>
      <c r="C3147" s="568" t="s">
        <v>922</v>
      </c>
      <c r="D3147" s="567">
        <v>336</v>
      </c>
      <c r="E3147" s="567">
        <v>85</v>
      </c>
      <c r="F3147" s="567">
        <v>20</v>
      </c>
      <c r="G3147" s="567">
        <v>126</v>
      </c>
      <c r="H3147" s="567">
        <v>1190</v>
      </c>
      <c r="O3147"/>
    </row>
    <row r="3148" spans="1:15" x14ac:dyDescent="0.2">
      <c r="A3148" s="567">
        <v>209</v>
      </c>
      <c r="B3148" s="568" t="s">
        <v>923</v>
      </c>
      <c r="C3148" s="568" t="s">
        <v>923</v>
      </c>
      <c r="D3148" s="567">
        <v>335</v>
      </c>
      <c r="E3148" s="567">
        <v>85</v>
      </c>
      <c r="F3148" s="567">
        <v>20</v>
      </c>
      <c r="G3148" s="567">
        <v>126</v>
      </c>
      <c r="H3148" s="567">
        <v>1190</v>
      </c>
      <c r="O3148"/>
    </row>
    <row r="3149" spans="1:15" x14ac:dyDescent="0.2">
      <c r="A3149" s="567">
        <v>1870</v>
      </c>
      <c r="B3149" s="568" t="s">
        <v>1822</v>
      </c>
      <c r="C3149" s="568" t="s">
        <v>1821</v>
      </c>
      <c r="D3149" s="567">
        <v>5221</v>
      </c>
      <c r="E3149" s="567">
        <v>56</v>
      </c>
      <c r="F3149" s="567">
        <v>5</v>
      </c>
      <c r="G3149" s="567">
        <v>316</v>
      </c>
      <c r="H3149" s="567">
        <v>3110</v>
      </c>
      <c r="O3149"/>
    </row>
    <row r="3150" spans="1:15" x14ac:dyDescent="0.2">
      <c r="A3150" s="567">
        <v>1871</v>
      </c>
      <c r="B3150" s="568" t="s">
        <v>1822</v>
      </c>
      <c r="C3150" s="568" t="s">
        <v>1824</v>
      </c>
      <c r="D3150" s="567">
        <v>5222</v>
      </c>
      <c r="E3150" s="567">
        <v>56</v>
      </c>
      <c r="F3150" s="567">
        <v>5</v>
      </c>
      <c r="G3150" s="567">
        <v>316</v>
      </c>
      <c r="H3150" s="567">
        <v>3110</v>
      </c>
      <c r="O3150"/>
    </row>
    <row r="3151" spans="1:15" x14ac:dyDescent="0.2">
      <c r="A3151" s="567">
        <v>1872</v>
      </c>
      <c r="B3151" s="568" t="s">
        <v>1822</v>
      </c>
      <c r="C3151" s="568" t="s">
        <v>1832</v>
      </c>
      <c r="D3151" s="567">
        <v>5223</v>
      </c>
      <c r="E3151" s="567">
        <v>56</v>
      </c>
      <c r="F3151" s="567">
        <v>5</v>
      </c>
      <c r="G3151" s="567">
        <v>316</v>
      </c>
      <c r="H3151" s="567">
        <v>3110</v>
      </c>
      <c r="O3151"/>
    </row>
    <row r="3152" spans="1:15" x14ac:dyDescent="0.2">
      <c r="A3152" s="567">
        <v>1869</v>
      </c>
      <c r="B3152" s="568" t="s">
        <v>1822</v>
      </c>
      <c r="C3152" s="568" t="s">
        <v>1822</v>
      </c>
      <c r="D3152" s="567">
        <v>5220</v>
      </c>
      <c r="E3152" s="567">
        <v>56</v>
      </c>
      <c r="F3152" s="567">
        <v>5</v>
      </c>
      <c r="G3152" s="567">
        <v>316</v>
      </c>
      <c r="H3152" s="567">
        <v>3110</v>
      </c>
      <c r="O3152"/>
    </row>
    <row r="3153" spans="1:15" x14ac:dyDescent="0.2">
      <c r="A3153" s="567">
        <v>1873</v>
      </c>
      <c r="B3153" s="568" t="s">
        <v>1822</v>
      </c>
      <c r="C3153" s="568" t="s">
        <v>1839</v>
      </c>
      <c r="D3153" s="567">
        <v>5224</v>
      </c>
      <c r="E3153" s="567">
        <v>56</v>
      </c>
      <c r="F3153" s="567">
        <v>5</v>
      </c>
      <c r="G3153" s="567">
        <v>316</v>
      </c>
      <c r="H3153" s="567">
        <v>3110</v>
      </c>
      <c r="O3153"/>
    </row>
    <row r="3154" spans="1:15" x14ac:dyDescent="0.2">
      <c r="A3154" s="567">
        <v>2402</v>
      </c>
      <c r="B3154" s="568" t="s">
        <v>2489</v>
      </c>
      <c r="C3154" s="568" t="s">
        <v>2488</v>
      </c>
      <c r="D3154" s="567">
        <v>6890</v>
      </c>
      <c r="E3154" s="567">
        <v>126</v>
      </c>
      <c r="F3154" s="567">
        <v>7</v>
      </c>
      <c r="G3154" s="567">
        <v>337</v>
      </c>
      <c r="H3154" s="567">
        <v>3180</v>
      </c>
      <c r="O3154"/>
    </row>
    <row r="3155" spans="1:15" x14ac:dyDescent="0.2">
      <c r="A3155" s="567">
        <v>2401</v>
      </c>
      <c r="B3155" s="568" t="s">
        <v>2489</v>
      </c>
      <c r="C3155" s="568" t="s">
        <v>1822</v>
      </c>
      <c r="D3155" s="567">
        <v>6889</v>
      </c>
      <c r="E3155" s="567">
        <v>126</v>
      </c>
      <c r="F3155" s="567">
        <v>7</v>
      </c>
      <c r="G3155" s="567">
        <v>337</v>
      </c>
      <c r="H3155" s="567">
        <v>3180</v>
      </c>
      <c r="O3155"/>
    </row>
    <row r="3156" spans="1:15" x14ac:dyDescent="0.2">
      <c r="A3156" s="567">
        <v>2400</v>
      </c>
      <c r="B3156" s="568" t="s">
        <v>2489</v>
      </c>
      <c r="C3156" s="568" t="s">
        <v>1955</v>
      </c>
      <c r="D3156" s="567">
        <v>6888</v>
      </c>
      <c r="E3156" s="567">
        <v>126</v>
      </c>
      <c r="F3156" s="567">
        <v>7</v>
      </c>
      <c r="G3156" s="567">
        <v>337</v>
      </c>
      <c r="H3156" s="567">
        <v>3180</v>
      </c>
      <c r="O3156"/>
    </row>
    <row r="3157" spans="1:15" x14ac:dyDescent="0.2">
      <c r="A3157" s="567">
        <v>2394</v>
      </c>
      <c r="B3157" s="568" t="s">
        <v>2489</v>
      </c>
      <c r="C3157" s="568" t="s">
        <v>2565</v>
      </c>
      <c r="D3157" s="567">
        <v>6882</v>
      </c>
      <c r="E3157" s="567">
        <v>126</v>
      </c>
      <c r="F3157" s="567">
        <v>7</v>
      </c>
      <c r="G3157" s="567">
        <v>337</v>
      </c>
      <c r="H3157" s="567">
        <v>3180</v>
      </c>
      <c r="O3157"/>
    </row>
    <row r="3158" spans="1:15" x14ac:dyDescent="0.2">
      <c r="A3158" s="567">
        <v>2393</v>
      </c>
      <c r="B3158" s="568" t="s">
        <v>2489</v>
      </c>
      <c r="C3158" s="568" t="s">
        <v>2573</v>
      </c>
      <c r="D3158" s="567">
        <v>6881</v>
      </c>
      <c r="E3158" s="567">
        <v>126</v>
      </c>
      <c r="F3158" s="567">
        <v>7</v>
      </c>
      <c r="G3158" s="567">
        <v>337</v>
      </c>
      <c r="H3158" s="567">
        <v>3180</v>
      </c>
      <c r="O3158"/>
    </row>
    <row r="3159" spans="1:15" x14ac:dyDescent="0.2">
      <c r="A3159" s="567">
        <v>2395</v>
      </c>
      <c r="B3159" s="568" t="s">
        <v>2489</v>
      </c>
      <c r="C3159" s="568" t="s">
        <v>1978</v>
      </c>
      <c r="D3159" s="567">
        <v>6883</v>
      </c>
      <c r="E3159" s="567">
        <v>126</v>
      </c>
      <c r="F3159" s="567">
        <v>7</v>
      </c>
      <c r="G3159" s="567">
        <v>337</v>
      </c>
      <c r="H3159" s="567">
        <v>3180</v>
      </c>
      <c r="O3159"/>
    </row>
    <row r="3160" spans="1:15" x14ac:dyDescent="0.2">
      <c r="A3160" s="567">
        <v>2396</v>
      </c>
      <c r="B3160" s="568" t="s">
        <v>2489</v>
      </c>
      <c r="C3160" s="568" t="s">
        <v>2575</v>
      </c>
      <c r="D3160" s="567">
        <v>6884</v>
      </c>
      <c r="E3160" s="567">
        <v>126</v>
      </c>
      <c r="F3160" s="567">
        <v>7</v>
      </c>
      <c r="G3160" s="567">
        <v>337</v>
      </c>
      <c r="H3160" s="567">
        <v>3180</v>
      </c>
      <c r="O3160"/>
    </row>
    <row r="3161" spans="1:15" x14ac:dyDescent="0.2">
      <c r="A3161" s="567">
        <v>2399</v>
      </c>
      <c r="B3161" s="568" t="s">
        <v>2489</v>
      </c>
      <c r="C3161" s="568" t="s">
        <v>2576</v>
      </c>
      <c r="D3161" s="567">
        <v>6887</v>
      </c>
      <c r="E3161" s="567">
        <v>126</v>
      </c>
      <c r="F3161" s="567">
        <v>7</v>
      </c>
      <c r="G3161" s="567">
        <v>337</v>
      </c>
      <c r="H3161" s="567">
        <v>3180</v>
      </c>
      <c r="O3161"/>
    </row>
    <row r="3162" spans="1:15" x14ac:dyDescent="0.2">
      <c r="A3162" s="567">
        <v>2398</v>
      </c>
      <c r="B3162" s="568" t="s">
        <v>2489</v>
      </c>
      <c r="C3162" s="568" t="s">
        <v>2577</v>
      </c>
      <c r="D3162" s="567">
        <v>6886</v>
      </c>
      <c r="E3162" s="567">
        <v>126</v>
      </c>
      <c r="F3162" s="567">
        <v>7</v>
      </c>
      <c r="G3162" s="567">
        <v>337</v>
      </c>
      <c r="H3162" s="567">
        <v>3180</v>
      </c>
      <c r="O3162"/>
    </row>
    <row r="3163" spans="1:15" x14ac:dyDescent="0.2">
      <c r="A3163" s="567">
        <v>2397</v>
      </c>
      <c r="B3163" s="568" t="s">
        <v>2489</v>
      </c>
      <c r="C3163" s="568" t="s">
        <v>2578</v>
      </c>
      <c r="D3163" s="567">
        <v>6885</v>
      </c>
      <c r="E3163" s="567">
        <v>126</v>
      </c>
      <c r="F3163" s="567">
        <v>7</v>
      </c>
      <c r="G3163" s="567">
        <v>337</v>
      </c>
      <c r="H3163" s="567">
        <v>3180</v>
      </c>
      <c r="O3163"/>
    </row>
    <row r="3164" spans="1:15" x14ac:dyDescent="0.2">
      <c r="A3164" s="567">
        <v>2392</v>
      </c>
      <c r="B3164" s="568" t="s">
        <v>2489</v>
      </c>
      <c r="C3164" s="568" t="s">
        <v>2579</v>
      </c>
      <c r="D3164" s="567">
        <v>6880</v>
      </c>
      <c r="E3164" s="567">
        <v>126</v>
      </c>
      <c r="F3164" s="567">
        <v>7</v>
      </c>
      <c r="G3164" s="567">
        <v>337</v>
      </c>
      <c r="H3164" s="567">
        <v>3180</v>
      </c>
      <c r="O3164"/>
    </row>
    <row r="3165" spans="1:15" x14ac:dyDescent="0.2">
      <c r="A3165" s="567">
        <v>969</v>
      </c>
      <c r="B3165" s="568" t="s">
        <v>47</v>
      </c>
      <c r="C3165" s="568" t="s">
        <v>47</v>
      </c>
      <c r="D3165" s="567">
        <v>2510</v>
      </c>
      <c r="E3165" s="567">
        <v>79</v>
      </c>
      <c r="F3165" s="567">
        <v>14</v>
      </c>
      <c r="G3165" s="567">
        <v>136</v>
      </c>
      <c r="H3165" s="567">
        <v>1101</v>
      </c>
      <c r="O3165"/>
    </row>
    <row r="3166" spans="1:15" x14ac:dyDescent="0.2">
      <c r="A3166" s="567">
        <v>970</v>
      </c>
      <c r="B3166" s="568" t="s">
        <v>47</v>
      </c>
      <c r="C3166" s="568" t="s">
        <v>127</v>
      </c>
      <c r="D3166" s="567">
        <v>2511</v>
      </c>
      <c r="E3166" s="567">
        <v>79</v>
      </c>
      <c r="F3166" s="567">
        <v>14</v>
      </c>
      <c r="G3166" s="567">
        <v>136</v>
      </c>
      <c r="H3166" s="567">
        <v>1101</v>
      </c>
      <c r="O3166"/>
    </row>
    <row r="3167" spans="1:15" x14ac:dyDescent="0.2">
      <c r="A3167" s="567">
        <v>484</v>
      </c>
      <c r="B3167" s="568" t="s">
        <v>776</v>
      </c>
      <c r="C3167" s="568" t="s">
        <v>776</v>
      </c>
      <c r="D3167" s="567">
        <v>940</v>
      </c>
      <c r="E3167" s="567">
        <v>74</v>
      </c>
      <c r="F3167" s="567">
        <v>1</v>
      </c>
      <c r="G3167" s="567">
        <v>118</v>
      </c>
      <c r="H3167" s="567">
        <v>1170</v>
      </c>
      <c r="O3167"/>
    </row>
    <row r="3168" spans="1:15" x14ac:dyDescent="0.2">
      <c r="A3168" s="567">
        <v>1205</v>
      </c>
      <c r="B3168" s="568" t="s">
        <v>1452</v>
      </c>
      <c r="C3168" s="568" t="s">
        <v>1452</v>
      </c>
      <c r="D3168" s="567">
        <v>3215</v>
      </c>
      <c r="E3168" s="567">
        <v>95</v>
      </c>
      <c r="F3168" s="567">
        <v>3</v>
      </c>
      <c r="G3168" s="567">
        <v>226</v>
      </c>
      <c r="H3168" s="567">
        <v>2130</v>
      </c>
      <c r="O3168"/>
    </row>
    <row r="3169" spans="1:15" x14ac:dyDescent="0.2">
      <c r="A3169" s="567">
        <v>1022</v>
      </c>
      <c r="B3169" s="568" t="s">
        <v>1516</v>
      </c>
      <c r="C3169" s="568" t="s">
        <v>1515</v>
      </c>
      <c r="D3169" s="567">
        <v>2662</v>
      </c>
      <c r="E3169" s="567">
        <v>109</v>
      </c>
      <c r="F3169" s="567">
        <v>21</v>
      </c>
      <c r="G3169" s="567">
        <v>225</v>
      </c>
      <c r="H3169" s="567">
        <v>2140</v>
      </c>
      <c r="O3169"/>
    </row>
    <row r="3170" spans="1:15" x14ac:dyDescent="0.2">
      <c r="A3170" s="567">
        <v>1029</v>
      </c>
      <c r="B3170" s="568" t="s">
        <v>1516</v>
      </c>
      <c r="C3170" s="568" t="s">
        <v>1524</v>
      </c>
      <c r="D3170" s="567">
        <v>2669</v>
      </c>
      <c r="E3170" s="567">
        <v>109</v>
      </c>
      <c r="F3170" s="567">
        <v>21</v>
      </c>
      <c r="G3170" s="567">
        <v>225</v>
      </c>
      <c r="H3170" s="567">
        <v>2140</v>
      </c>
      <c r="O3170"/>
    </row>
    <row r="3171" spans="1:15" x14ac:dyDescent="0.2">
      <c r="A3171" s="567">
        <v>1028</v>
      </c>
      <c r="B3171" s="568" t="s">
        <v>1516</v>
      </c>
      <c r="C3171" s="568" t="s">
        <v>1525</v>
      </c>
      <c r="D3171" s="567">
        <v>2668</v>
      </c>
      <c r="E3171" s="567">
        <v>109</v>
      </c>
      <c r="F3171" s="567">
        <v>21</v>
      </c>
      <c r="G3171" s="567">
        <v>225</v>
      </c>
      <c r="H3171" s="567">
        <v>2140</v>
      </c>
      <c r="O3171"/>
    </row>
    <row r="3172" spans="1:15" x14ac:dyDescent="0.2">
      <c r="A3172" s="567">
        <v>1027</v>
      </c>
      <c r="B3172" s="568" t="s">
        <v>1516</v>
      </c>
      <c r="C3172" s="568" t="s">
        <v>1526</v>
      </c>
      <c r="D3172" s="567">
        <v>2667</v>
      </c>
      <c r="E3172" s="567">
        <v>109</v>
      </c>
      <c r="F3172" s="567">
        <v>21</v>
      </c>
      <c r="G3172" s="567">
        <v>225</v>
      </c>
      <c r="H3172" s="567">
        <v>2140</v>
      </c>
      <c r="O3172"/>
    </row>
    <row r="3173" spans="1:15" x14ac:dyDescent="0.2">
      <c r="A3173" s="567">
        <v>1026</v>
      </c>
      <c r="B3173" s="568" t="s">
        <v>1516</v>
      </c>
      <c r="C3173" s="568" t="s">
        <v>1527</v>
      </c>
      <c r="D3173" s="567">
        <v>2666</v>
      </c>
      <c r="E3173" s="567">
        <v>109</v>
      </c>
      <c r="F3173" s="567">
        <v>21</v>
      </c>
      <c r="G3173" s="567">
        <v>225</v>
      </c>
      <c r="H3173" s="567">
        <v>2140</v>
      </c>
      <c r="O3173"/>
    </row>
    <row r="3174" spans="1:15" x14ac:dyDescent="0.2">
      <c r="A3174" s="567">
        <v>1025</v>
      </c>
      <c r="B3174" s="568" t="s">
        <v>1516</v>
      </c>
      <c r="C3174" s="568" t="s">
        <v>1528</v>
      </c>
      <c r="D3174" s="567">
        <v>2665</v>
      </c>
      <c r="E3174" s="567">
        <v>109</v>
      </c>
      <c r="F3174" s="567">
        <v>21</v>
      </c>
      <c r="G3174" s="567">
        <v>225</v>
      </c>
      <c r="H3174" s="567">
        <v>2140</v>
      </c>
      <c r="O3174"/>
    </row>
    <row r="3175" spans="1:15" x14ac:dyDescent="0.2">
      <c r="A3175" s="567">
        <v>1023</v>
      </c>
      <c r="B3175" s="568" t="s">
        <v>1516</v>
      </c>
      <c r="C3175" s="568" t="s">
        <v>1529</v>
      </c>
      <c r="D3175" s="567">
        <v>2663</v>
      </c>
      <c r="E3175" s="567">
        <v>109</v>
      </c>
      <c r="F3175" s="567">
        <v>21</v>
      </c>
      <c r="G3175" s="567">
        <v>225</v>
      </c>
      <c r="H3175" s="567">
        <v>2140</v>
      </c>
      <c r="O3175"/>
    </row>
    <row r="3176" spans="1:15" x14ac:dyDescent="0.2">
      <c r="A3176" s="567">
        <v>1021</v>
      </c>
      <c r="B3176" s="568" t="s">
        <v>1516</v>
      </c>
      <c r="C3176" s="568" t="s">
        <v>1186</v>
      </c>
      <c r="D3176" s="567">
        <v>2661</v>
      </c>
      <c r="E3176" s="567">
        <v>109</v>
      </c>
      <c r="F3176" s="567">
        <v>21</v>
      </c>
      <c r="G3176" s="567">
        <v>225</v>
      </c>
      <c r="H3176" s="567">
        <v>2140</v>
      </c>
      <c r="O3176"/>
    </row>
    <row r="3177" spans="1:15" x14ac:dyDescent="0.2">
      <c r="A3177" s="567">
        <v>1020</v>
      </c>
      <c r="B3177" s="568" t="s">
        <v>1516</v>
      </c>
      <c r="C3177" s="568" t="s">
        <v>1516</v>
      </c>
      <c r="D3177" s="567">
        <v>2660</v>
      </c>
      <c r="E3177" s="567">
        <v>109</v>
      </c>
      <c r="F3177" s="567">
        <v>21</v>
      </c>
      <c r="G3177" s="567">
        <v>225</v>
      </c>
      <c r="H3177" s="567">
        <v>2140</v>
      </c>
      <c r="O3177"/>
    </row>
    <row r="3178" spans="1:15" x14ac:dyDescent="0.2">
      <c r="A3178" s="567">
        <v>1024</v>
      </c>
      <c r="B3178" s="568" t="s">
        <v>1516</v>
      </c>
      <c r="C3178" s="568" t="s">
        <v>1541</v>
      </c>
      <c r="D3178" s="567">
        <v>2664</v>
      </c>
      <c r="E3178" s="567">
        <v>109</v>
      </c>
      <c r="F3178" s="567">
        <v>21</v>
      </c>
      <c r="G3178" s="567">
        <v>225</v>
      </c>
      <c r="H3178" s="567">
        <v>2140</v>
      </c>
      <c r="O3178"/>
    </row>
    <row r="3179" spans="1:15" x14ac:dyDescent="0.2">
      <c r="A3179" s="567">
        <v>264</v>
      </c>
      <c r="B3179" s="568" t="s">
        <v>1057</v>
      </c>
      <c r="C3179" s="568" t="s">
        <v>1057</v>
      </c>
      <c r="D3179" s="567">
        <v>430</v>
      </c>
      <c r="E3179" s="567">
        <v>91</v>
      </c>
      <c r="F3179" s="567">
        <v>20</v>
      </c>
      <c r="G3179" s="567">
        <v>127</v>
      </c>
      <c r="H3179" s="567">
        <v>1200</v>
      </c>
      <c r="O3179"/>
    </row>
    <row r="3180" spans="1:15" x14ac:dyDescent="0.2">
      <c r="A3180" s="567">
        <v>266</v>
      </c>
      <c r="B3180" s="568" t="s">
        <v>1057</v>
      </c>
      <c r="C3180" s="568" t="s">
        <v>1085</v>
      </c>
      <c r="D3180" s="567">
        <v>432</v>
      </c>
      <c r="E3180" s="567">
        <v>91</v>
      </c>
      <c r="F3180" s="567">
        <v>20</v>
      </c>
      <c r="G3180" s="567">
        <v>127</v>
      </c>
      <c r="H3180" s="567">
        <v>1200</v>
      </c>
      <c r="O3180"/>
    </row>
    <row r="3181" spans="1:15" x14ac:dyDescent="0.2">
      <c r="A3181" s="567">
        <v>265</v>
      </c>
      <c r="B3181" s="568" t="s">
        <v>1057</v>
      </c>
      <c r="C3181" s="568" t="s">
        <v>1090</v>
      </c>
      <c r="D3181" s="567">
        <v>431</v>
      </c>
      <c r="E3181" s="567">
        <v>91</v>
      </c>
      <c r="F3181" s="567">
        <v>20</v>
      </c>
      <c r="G3181" s="567">
        <v>127</v>
      </c>
      <c r="H3181" s="567">
        <v>1200</v>
      </c>
      <c r="O3181"/>
    </row>
    <row r="3182" spans="1:15" x14ac:dyDescent="0.2">
      <c r="A3182" s="567">
        <v>1305</v>
      </c>
      <c r="B3182" s="568" t="s">
        <v>1350</v>
      </c>
      <c r="C3182" s="568" t="s">
        <v>1349</v>
      </c>
      <c r="D3182" s="567">
        <v>3531</v>
      </c>
      <c r="E3182" s="567">
        <v>89</v>
      </c>
      <c r="F3182" s="567">
        <v>2</v>
      </c>
      <c r="G3182" s="567">
        <v>215</v>
      </c>
      <c r="H3182" s="567">
        <v>2121</v>
      </c>
      <c r="O3182"/>
    </row>
    <row r="3183" spans="1:15" x14ac:dyDescent="0.2">
      <c r="A3183" s="567">
        <v>1304</v>
      </c>
      <c r="B3183" s="568" t="s">
        <v>1350</v>
      </c>
      <c r="C3183" s="568" t="s">
        <v>1355</v>
      </c>
      <c r="D3183" s="567">
        <v>3530</v>
      </c>
      <c r="E3183" s="567">
        <v>89</v>
      </c>
      <c r="F3183" s="567">
        <v>2</v>
      </c>
      <c r="G3183" s="567">
        <v>215</v>
      </c>
      <c r="H3183" s="567">
        <v>2121</v>
      </c>
      <c r="O3183"/>
    </row>
    <row r="3184" spans="1:15" x14ac:dyDescent="0.2">
      <c r="A3184" s="567">
        <v>824</v>
      </c>
      <c r="B3184" s="568" t="s">
        <v>454</v>
      </c>
      <c r="C3184" s="568" t="s">
        <v>454</v>
      </c>
      <c r="D3184" s="567">
        <v>2045</v>
      </c>
      <c r="E3184" s="567">
        <v>55</v>
      </c>
      <c r="F3184" s="567">
        <v>18</v>
      </c>
      <c r="G3184" s="567">
        <v>117</v>
      </c>
      <c r="H3184" s="567">
        <v>1130</v>
      </c>
      <c r="O3184"/>
    </row>
    <row r="3185" spans="1:15" x14ac:dyDescent="0.2">
      <c r="A3185" s="567">
        <v>3308</v>
      </c>
      <c r="B3185" s="568" t="s">
        <v>2809</v>
      </c>
      <c r="C3185" s="568" t="s">
        <v>2808</v>
      </c>
      <c r="D3185" s="567">
        <v>9646</v>
      </c>
      <c r="E3185" s="567">
        <v>81</v>
      </c>
      <c r="F3185" s="567">
        <v>10</v>
      </c>
      <c r="G3185" s="567">
        <v>436</v>
      </c>
      <c r="H3185" s="567">
        <v>4120</v>
      </c>
      <c r="O3185"/>
    </row>
    <row r="3186" spans="1:15" x14ac:dyDescent="0.2">
      <c r="A3186" s="567">
        <v>3307</v>
      </c>
      <c r="B3186" s="568" t="s">
        <v>2809</v>
      </c>
      <c r="C3186" s="568" t="s">
        <v>2823</v>
      </c>
      <c r="D3186" s="567">
        <v>9645</v>
      </c>
      <c r="E3186" s="567">
        <v>81</v>
      </c>
      <c r="F3186" s="567">
        <v>10</v>
      </c>
      <c r="G3186" s="567">
        <v>436</v>
      </c>
      <c r="H3186" s="567">
        <v>4120</v>
      </c>
      <c r="O3186"/>
    </row>
    <row r="3187" spans="1:15" x14ac:dyDescent="0.2">
      <c r="A3187" s="567">
        <v>3306</v>
      </c>
      <c r="B3187" s="568" t="s">
        <v>2809</v>
      </c>
      <c r="C3187" s="568" t="s">
        <v>2824</v>
      </c>
      <c r="D3187" s="567">
        <v>9644</v>
      </c>
      <c r="E3187" s="567">
        <v>81</v>
      </c>
      <c r="F3187" s="567">
        <v>10</v>
      </c>
      <c r="G3187" s="567">
        <v>436</v>
      </c>
      <c r="H3187" s="567">
        <v>4120</v>
      </c>
      <c r="O3187"/>
    </row>
    <row r="3188" spans="1:15" x14ac:dyDescent="0.2">
      <c r="A3188" s="567">
        <v>3305</v>
      </c>
      <c r="B3188" s="568" t="s">
        <v>2809</v>
      </c>
      <c r="C3188" s="568" t="s">
        <v>2825</v>
      </c>
      <c r="D3188" s="567">
        <v>9643</v>
      </c>
      <c r="E3188" s="567">
        <v>81</v>
      </c>
      <c r="F3188" s="567">
        <v>10</v>
      </c>
      <c r="G3188" s="567">
        <v>436</v>
      </c>
      <c r="H3188" s="567">
        <v>4120</v>
      </c>
      <c r="O3188"/>
    </row>
    <row r="3189" spans="1:15" x14ac:dyDescent="0.2">
      <c r="A3189" s="567">
        <v>3304</v>
      </c>
      <c r="B3189" s="568" t="s">
        <v>2809</v>
      </c>
      <c r="C3189" s="568" t="s">
        <v>2826</v>
      </c>
      <c r="D3189" s="567">
        <v>9642</v>
      </c>
      <c r="E3189" s="567">
        <v>81</v>
      </c>
      <c r="F3189" s="567">
        <v>10</v>
      </c>
      <c r="G3189" s="567">
        <v>436</v>
      </c>
      <c r="H3189" s="567">
        <v>4120</v>
      </c>
      <c r="O3189"/>
    </row>
    <row r="3190" spans="1:15" x14ac:dyDescent="0.2">
      <c r="A3190" s="567">
        <v>3303</v>
      </c>
      <c r="B3190" s="568" t="s">
        <v>2809</v>
      </c>
      <c r="C3190" s="568" t="s">
        <v>2827</v>
      </c>
      <c r="D3190" s="567">
        <v>9641</v>
      </c>
      <c r="E3190" s="567">
        <v>81</v>
      </c>
      <c r="F3190" s="567">
        <v>10</v>
      </c>
      <c r="G3190" s="567">
        <v>436</v>
      </c>
      <c r="H3190" s="567">
        <v>4120</v>
      </c>
      <c r="O3190"/>
    </row>
    <row r="3191" spans="1:15" x14ac:dyDescent="0.2">
      <c r="A3191" s="567">
        <v>3302</v>
      </c>
      <c r="B3191" s="568" t="s">
        <v>2809</v>
      </c>
      <c r="C3191" s="568" t="s">
        <v>454</v>
      </c>
      <c r="D3191" s="567">
        <v>9640</v>
      </c>
      <c r="E3191" s="567">
        <v>81</v>
      </c>
      <c r="F3191" s="567">
        <v>10</v>
      </c>
      <c r="G3191" s="567">
        <v>436</v>
      </c>
      <c r="H3191" s="567">
        <v>4120</v>
      </c>
      <c r="O3191"/>
    </row>
    <row r="3192" spans="1:15" x14ac:dyDescent="0.2">
      <c r="A3192" s="567">
        <v>2648</v>
      </c>
      <c r="B3192" s="568" t="s">
        <v>2962</v>
      </c>
      <c r="C3192" s="568" t="s">
        <v>2962</v>
      </c>
      <c r="D3192" s="567">
        <v>7635</v>
      </c>
      <c r="E3192" s="567">
        <v>80</v>
      </c>
      <c r="F3192" s="567">
        <v>2</v>
      </c>
      <c r="G3192" s="567">
        <v>415</v>
      </c>
      <c r="H3192" s="567">
        <v>4131</v>
      </c>
      <c r="O3192"/>
    </row>
    <row r="3193" spans="1:15" x14ac:dyDescent="0.2">
      <c r="A3193" s="567">
        <v>3048</v>
      </c>
      <c r="B3193" s="568" t="s">
        <v>2771</v>
      </c>
      <c r="C3193" s="568" t="s">
        <v>2771</v>
      </c>
      <c r="D3193" s="567">
        <v>8790</v>
      </c>
      <c r="E3193" s="567">
        <v>128</v>
      </c>
      <c r="F3193" s="567">
        <v>11</v>
      </c>
      <c r="G3193" s="567">
        <v>426</v>
      </c>
      <c r="H3193" s="567">
        <v>4110</v>
      </c>
      <c r="O3193"/>
    </row>
    <row r="3194" spans="1:15" x14ac:dyDescent="0.2">
      <c r="A3194" s="567">
        <v>3049</v>
      </c>
      <c r="B3194" s="568" t="s">
        <v>2771</v>
      </c>
      <c r="C3194" s="568" t="s">
        <v>2772</v>
      </c>
      <c r="D3194" s="567">
        <v>8791</v>
      </c>
      <c r="E3194" s="567">
        <v>128</v>
      </c>
      <c r="F3194" s="567">
        <v>11</v>
      </c>
      <c r="G3194" s="567">
        <v>426</v>
      </c>
      <c r="H3194" s="567">
        <v>4110</v>
      </c>
      <c r="O3194"/>
    </row>
    <row r="3195" spans="1:15" x14ac:dyDescent="0.2">
      <c r="A3195" s="567">
        <v>3050</v>
      </c>
      <c r="B3195" s="568" t="s">
        <v>2771</v>
      </c>
      <c r="C3195" s="568" t="s">
        <v>181</v>
      </c>
      <c r="D3195" s="567">
        <v>8792</v>
      </c>
      <c r="E3195" s="567">
        <v>128</v>
      </c>
      <c r="F3195" s="567">
        <v>11</v>
      </c>
      <c r="G3195" s="567">
        <v>426</v>
      </c>
      <c r="H3195" s="567">
        <v>4110</v>
      </c>
      <c r="O3195"/>
    </row>
    <row r="3196" spans="1:15" x14ac:dyDescent="0.2">
      <c r="A3196" s="567">
        <v>823</v>
      </c>
      <c r="B3196" s="568" t="s">
        <v>453</v>
      </c>
      <c r="C3196" s="568" t="s">
        <v>453</v>
      </c>
      <c r="D3196" s="567">
        <v>2040</v>
      </c>
      <c r="E3196" s="567">
        <v>53</v>
      </c>
      <c r="F3196" s="567">
        <v>18</v>
      </c>
      <c r="G3196" s="567">
        <v>117</v>
      </c>
      <c r="H3196" s="567">
        <v>1130</v>
      </c>
      <c r="O3196"/>
    </row>
    <row r="3197" spans="1:15" x14ac:dyDescent="0.2">
      <c r="A3197" s="567">
        <v>2174</v>
      </c>
      <c r="B3197" s="568" t="s">
        <v>2441</v>
      </c>
      <c r="C3197" s="568" t="s">
        <v>2441</v>
      </c>
      <c r="D3197" s="567">
        <v>6215</v>
      </c>
      <c r="E3197" s="567">
        <v>51</v>
      </c>
      <c r="F3197" s="567">
        <v>15</v>
      </c>
      <c r="G3197" s="567">
        <v>327</v>
      </c>
      <c r="H3197" s="567">
        <v>3170</v>
      </c>
      <c r="O3197"/>
    </row>
    <row r="3198" spans="1:15" x14ac:dyDescent="0.2">
      <c r="A3198" s="567">
        <v>2463</v>
      </c>
      <c r="B3198" s="568" t="s">
        <v>2500</v>
      </c>
      <c r="C3198" s="568" t="s">
        <v>2499</v>
      </c>
      <c r="D3198" s="567">
        <v>7051</v>
      </c>
      <c r="E3198" s="567">
        <v>116</v>
      </c>
      <c r="F3198" s="567">
        <v>3</v>
      </c>
      <c r="G3198" s="567">
        <v>337</v>
      </c>
      <c r="H3198" s="567">
        <v>3180</v>
      </c>
      <c r="O3198"/>
    </row>
    <row r="3199" spans="1:15" x14ac:dyDescent="0.2">
      <c r="A3199" s="567">
        <v>2462</v>
      </c>
      <c r="B3199" s="568" t="s">
        <v>2500</v>
      </c>
      <c r="C3199" s="568" t="s">
        <v>2500</v>
      </c>
      <c r="D3199" s="567">
        <v>7050</v>
      </c>
      <c r="E3199" s="567">
        <v>116</v>
      </c>
      <c r="F3199" s="567">
        <v>3</v>
      </c>
      <c r="G3199" s="567">
        <v>337</v>
      </c>
      <c r="H3199" s="567">
        <v>3180</v>
      </c>
      <c r="O3199"/>
    </row>
    <row r="3200" spans="1:15" x14ac:dyDescent="0.2">
      <c r="A3200" s="567">
        <v>2836</v>
      </c>
      <c r="B3200" s="568" t="s">
        <v>3250</v>
      </c>
      <c r="C3200" s="568" t="s">
        <v>3250</v>
      </c>
      <c r="D3200" s="567">
        <v>8145</v>
      </c>
      <c r="E3200" s="567">
        <v>130</v>
      </c>
      <c r="F3200" s="567">
        <v>14</v>
      </c>
      <c r="G3200" s="567">
        <v>425</v>
      </c>
      <c r="H3200" s="567">
        <v>4170</v>
      </c>
      <c r="O3200"/>
    </row>
    <row r="3201" spans="1:15" x14ac:dyDescent="0.2">
      <c r="A3201" s="567">
        <v>114</v>
      </c>
      <c r="B3201" s="568" t="s">
        <v>390</v>
      </c>
      <c r="C3201" s="568" t="s">
        <v>389</v>
      </c>
      <c r="D3201" s="567">
        <v>180</v>
      </c>
      <c r="E3201" s="567">
        <v>126</v>
      </c>
      <c r="F3201" s="567">
        <v>20</v>
      </c>
      <c r="G3201" s="567">
        <v>128</v>
      </c>
      <c r="H3201" s="567">
        <v>1121</v>
      </c>
      <c r="O3201"/>
    </row>
    <row r="3202" spans="1:15" x14ac:dyDescent="0.2">
      <c r="A3202" s="567">
        <v>113</v>
      </c>
      <c r="B3202" s="568" t="s">
        <v>390</v>
      </c>
      <c r="C3202" s="568" t="s">
        <v>393</v>
      </c>
      <c r="D3202" s="567">
        <v>179</v>
      </c>
      <c r="E3202" s="567">
        <v>126</v>
      </c>
      <c r="F3202" s="567">
        <v>20</v>
      </c>
      <c r="G3202" s="567">
        <v>128</v>
      </c>
      <c r="H3202" s="567">
        <v>1121</v>
      </c>
      <c r="O3202"/>
    </row>
    <row r="3203" spans="1:15" x14ac:dyDescent="0.2">
      <c r="A3203" s="567">
        <v>112</v>
      </c>
      <c r="B3203" s="568" t="s">
        <v>390</v>
      </c>
      <c r="C3203" s="568" t="s">
        <v>394</v>
      </c>
      <c r="D3203" s="567">
        <v>178</v>
      </c>
      <c r="E3203" s="567">
        <v>126</v>
      </c>
      <c r="F3203" s="567">
        <v>20</v>
      </c>
      <c r="G3203" s="567">
        <v>128</v>
      </c>
      <c r="H3203" s="567">
        <v>1121</v>
      </c>
      <c r="O3203"/>
    </row>
    <row r="3204" spans="1:15" x14ac:dyDescent="0.2">
      <c r="A3204" s="567">
        <v>111</v>
      </c>
      <c r="B3204" s="568" t="s">
        <v>390</v>
      </c>
      <c r="C3204" s="568" t="s">
        <v>395</v>
      </c>
      <c r="D3204" s="567">
        <v>177</v>
      </c>
      <c r="E3204" s="567">
        <v>126</v>
      </c>
      <c r="F3204" s="567">
        <v>20</v>
      </c>
      <c r="G3204" s="567">
        <v>128</v>
      </c>
      <c r="H3204" s="567">
        <v>1121</v>
      </c>
      <c r="O3204"/>
    </row>
    <row r="3205" spans="1:15" x14ac:dyDescent="0.2">
      <c r="A3205" s="567">
        <v>109</v>
      </c>
      <c r="B3205" s="568" t="s">
        <v>390</v>
      </c>
      <c r="C3205" s="568" t="s">
        <v>390</v>
      </c>
      <c r="D3205" s="567">
        <v>175</v>
      </c>
      <c r="E3205" s="567">
        <v>126</v>
      </c>
      <c r="F3205" s="567">
        <v>20</v>
      </c>
      <c r="G3205" s="567">
        <v>128</v>
      </c>
      <c r="H3205" s="567">
        <v>1121</v>
      </c>
      <c r="O3205"/>
    </row>
    <row r="3206" spans="1:15" x14ac:dyDescent="0.2">
      <c r="A3206" s="567">
        <v>115</v>
      </c>
      <c r="B3206" s="568" t="s">
        <v>390</v>
      </c>
      <c r="C3206" s="568" t="s">
        <v>92</v>
      </c>
      <c r="D3206" s="567">
        <v>181</v>
      </c>
      <c r="E3206" s="567">
        <v>126</v>
      </c>
      <c r="F3206" s="567">
        <v>20</v>
      </c>
      <c r="G3206" s="567">
        <v>128</v>
      </c>
      <c r="H3206" s="567">
        <v>1121</v>
      </c>
      <c r="O3206"/>
    </row>
    <row r="3207" spans="1:15" x14ac:dyDescent="0.2">
      <c r="A3207" s="567">
        <v>116</v>
      </c>
      <c r="B3207" s="568" t="s">
        <v>390</v>
      </c>
      <c r="C3207" s="568" t="s">
        <v>405</v>
      </c>
      <c r="D3207" s="567">
        <v>182</v>
      </c>
      <c r="E3207" s="567">
        <v>126</v>
      </c>
      <c r="F3207" s="567">
        <v>20</v>
      </c>
      <c r="G3207" s="567">
        <v>128</v>
      </c>
      <c r="H3207" s="567">
        <v>1121</v>
      </c>
      <c r="O3207"/>
    </row>
    <row r="3208" spans="1:15" x14ac:dyDescent="0.2">
      <c r="A3208" s="567">
        <v>117</v>
      </c>
      <c r="B3208" s="568" t="s">
        <v>390</v>
      </c>
      <c r="C3208" s="568" t="s">
        <v>406</v>
      </c>
      <c r="D3208" s="567">
        <v>183</v>
      </c>
      <c r="E3208" s="567">
        <v>126</v>
      </c>
      <c r="F3208" s="567">
        <v>20</v>
      </c>
      <c r="G3208" s="567">
        <v>128</v>
      </c>
      <c r="H3208" s="567">
        <v>1121</v>
      </c>
      <c r="O3208"/>
    </row>
    <row r="3209" spans="1:15" x14ac:dyDescent="0.2">
      <c r="A3209" s="567">
        <v>110</v>
      </c>
      <c r="B3209" s="568" t="s">
        <v>390</v>
      </c>
      <c r="C3209" s="568" t="s">
        <v>409</v>
      </c>
      <c r="D3209" s="567">
        <v>176</v>
      </c>
      <c r="E3209" s="567">
        <v>126</v>
      </c>
      <c r="F3209" s="567">
        <v>20</v>
      </c>
      <c r="G3209" s="567">
        <v>128</v>
      </c>
      <c r="H3209" s="567">
        <v>1121</v>
      </c>
      <c r="O3209"/>
    </row>
    <row r="3210" spans="1:15" x14ac:dyDescent="0.2">
      <c r="A3210" s="567">
        <v>2558</v>
      </c>
      <c r="B3210" s="568" t="s">
        <v>2054</v>
      </c>
      <c r="C3210" s="568" t="s">
        <v>816</v>
      </c>
      <c r="D3210" s="567">
        <v>7343</v>
      </c>
      <c r="E3210" s="567">
        <v>91</v>
      </c>
      <c r="F3210" s="567">
        <v>3</v>
      </c>
      <c r="G3210" s="567">
        <v>336</v>
      </c>
      <c r="H3210" s="567">
        <v>3130</v>
      </c>
      <c r="O3210"/>
    </row>
    <row r="3211" spans="1:15" x14ac:dyDescent="0.2">
      <c r="A3211" s="567">
        <v>2557</v>
      </c>
      <c r="B3211" s="568" t="s">
        <v>2054</v>
      </c>
      <c r="C3211" s="568" t="s">
        <v>2055</v>
      </c>
      <c r="D3211" s="567">
        <v>7342</v>
      </c>
      <c r="E3211" s="567">
        <v>91</v>
      </c>
      <c r="F3211" s="567">
        <v>3</v>
      </c>
      <c r="G3211" s="567">
        <v>336</v>
      </c>
      <c r="H3211" s="567">
        <v>3130</v>
      </c>
      <c r="O3211"/>
    </row>
    <row r="3212" spans="1:15" x14ac:dyDescent="0.2">
      <c r="A3212" s="567">
        <v>2556</v>
      </c>
      <c r="B3212" s="568" t="s">
        <v>2054</v>
      </c>
      <c r="C3212" s="568" t="s">
        <v>2056</v>
      </c>
      <c r="D3212" s="567">
        <v>7341</v>
      </c>
      <c r="E3212" s="567">
        <v>91</v>
      </c>
      <c r="F3212" s="567">
        <v>3</v>
      </c>
      <c r="G3212" s="567">
        <v>336</v>
      </c>
      <c r="H3212" s="567">
        <v>3130</v>
      </c>
      <c r="O3212"/>
    </row>
    <row r="3213" spans="1:15" x14ac:dyDescent="0.2">
      <c r="A3213" s="567">
        <v>2555</v>
      </c>
      <c r="B3213" s="568" t="s">
        <v>2054</v>
      </c>
      <c r="C3213" s="568" t="s">
        <v>693</v>
      </c>
      <c r="D3213" s="567">
        <v>7340</v>
      </c>
      <c r="E3213" s="567">
        <v>91</v>
      </c>
      <c r="F3213" s="567">
        <v>3</v>
      </c>
      <c r="G3213" s="567">
        <v>336</v>
      </c>
      <c r="H3213" s="567">
        <v>3130</v>
      </c>
      <c r="O3213"/>
    </row>
    <row r="3214" spans="1:15" x14ac:dyDescent="0.2">
      <c r="A3214" s="567">
        <v>692</v>
      </c>
      <c r="B3214" s="568" t="s">
        <v>649</v>
      </c>
      <c r="C3214" s="568" t="s">
        <v>648</v>
      </c>
      <c r="D3214" s="567">
        <v>1519</v>
      </c>
      <c r="E3214" s="567">
        <v>50</v>
      </c>
      <c r="F3214" s="567">
        <v>17</v>
      </c>
      <c r="G3214" s="567">
        <v>115</v>
      </c>
      <c r="H3214" s="567">
        <v>1161</v>
      </c>
      <c r="O3214"/>
    </row>
    <row r="3215" spans="1:15" x14ac:dyDescent="0.2">
      <c r="A3215" s="567">
        <v>691</v>
      </c>
      <c r="B3215" s="568" t="s">
        <v>649</v>
      </c>
      <c r="C3215" s="568" t="s">
        <v>656</v>
      </c>
      <c r="D3215" s="567">
        <v>1518</v>
      </c>
      <c r="E3215" s="567">
        <v>50</v>
      </c>
      <c r="F3215" s="567">
        <v>17</v>
      </c>
      <c r="G3215" s="567">
        <v>115</v>
      </c>
      <c r="H3215" s="567">
        <v>1161</v>
      </c>
      <c r="O3215"/>
    </row>
    <row r="3216" spans="1:15" x14ac:dyDescent="0.2">
      <c r="A3216" s="567">
        <v>690</v>
      </c>
      <c r="B3216" s="568" t="s">
        <v>649</v>
      </c>
      <c r="C3216" s="568" t="s">
        <v>662</v>
      </c>
      <c r="D3216" s="567">
        <v>1517</v>
      </c>
      <c r="E3216" s="567">
        <v>50</v>
      </c>
      <c r="F3216" s="567">
        <v>17</v>
      </c>
      <c r="G3216" s="567">
        <v>115</v>
      </c>
      <c r="H3216" s="567">
        <v>1161</v>
      </c>
      <c r="O3216"/>
    </row>
    <row r="3217" spans="1:15" x14ac:dyDescent="0.2">
      <c r="A3217" s="567">
        <v>689</v>
      </c>
      <c r="B3217" s="568" t="s">
        <v>649</v>
      </c>
      <c r="C3217" s="568" t="s">
        <v>430</v>
      </c>
      <c r="D3217" s="567">
        <v>1516</v>
      </c>
      <c r="E3217" s="567">
        <v>50</v>
      </c>
      <c r="F3217" s="567">
        <v>17</v>
      </c>
      <c r="G3217" s="567">
        <v>115</v>
      </c>
      <c r="H3217" s="567">
        <v>1161</v>
      </c>
      <c r="O3217"/>
    </row>
    <row r="3218" spans="1:15" x14ac:dyDescent="0.2">
      <c r="A3218" s="567">
        <v>688</v>
      </c>
      <c r="B3218" s="568" t="s">
        <v>649</v>
      </c>
      <c r="C3218" s="568" t="s">
        <v>649</v>
      </c>
      <c r="D3218" s="567">
        <v>1515</v>
      </c>
      <c r="E3218" s="567">
        <v>50</v>
      </c>
      <c r="F3218" s="567">
        <v>17</v>
      </c>
      <c r="G3218" s="567">
        <v>115</v>
      </c>
      <c r="H3218" s="567">
        <v>1161</v>
      </c>
      <c r="O3218"/>
    </row>
    <row r="3219" spans="1:15" x14ac:dyDescent="0.2">
      <c r="A3219" s="567">
        <v>710</v>
      </c>
      <c r="B3219" s="568" t="s">
        <v>694</v>
      </c>
      <c r="C3219" s="568" t="s">
        <v>693</v>
      </c>
      <c r="D3219" s="567">
        <v>1600</v>
      </c>
      <c r="E3219" s="567">
        <v>51</v>
      </c>
      <c r="F3219" s="567">
        <v>2</v>
      </c>
      <c r="G3219" s="567">
        <v>115</v>
      </c>
      <c r="H3219" s="567">
        <v>1161</v>
      </c>
      <c r="O3219"/>
    </row>
    <row r="3220" spans="1:15" x14ac:dyDescent="0.2">
      <c r="A3220" s="567">
        <v>711</v>
      </c>
      <c r="B3220" s="568" t="s">
        <v>694</v>
      </c>
      <c r="C3220" s="568" t="s">
        <v>695</v>
      </c>
      <c r="D3220" s="567">
        <v>1601</v>
      </c>
      <c r="E3220" s="567">
        <v>51</v>
      </c>
      <c r="F3220" s="567">
        <v>2</v>
      </c>
      <c r="G3220" s="567">
        <v>115</v>
      </c>
      <c r="H3220" s="567">
        <v>1161</v>
      </c>
      <c r="O3220"/>
    </row>
    <row r="3221" spans="1:15" x14ac:dyDescent="0.2">
      <c r="A3221" s="567">
        <v>712</v>
      </c>
      <c r="B3221" s="568" t="s">
        <v>694</v>
      </c>
      <c r="C3221" s="568" t="s">
        <v>700</v>
      </c>
      <c r="D3221" s="567">
        <v>1602</v>
      </c>
      <c r="E3221" s="567">
        <v>51</v>
      </c>
      <c r="F3221" s="567">
        <v>2</v>
      </c>
      <c r="G3221" s="567">
        <v>115</v>
      </c>
      <c r="H3221" s="567">
        <v>1161</v>
      </c>
      <c r="O3221"/>
    </row>
    <row r="3222" spans="1:15" x14ac:dyDescent="0.2">
      <c r="A3222" s="567">
        <v>2807</v>
      </c>
      <c r="B3222" s="568" t="s">
        <v>2612</v>
      </c>
      <c r="C3222" s="568" t="s">
        <v>2611</v>
      </c>
      <c r="D3222" s="567">
        <v>8050</v>
      </c>
      <c r="E3222" s="567">
        <v>71</v>
      </c>
      <c r="F3222" s="567">
        <v>16</v>
      </c>
      <c r="G3222" s="567">
        <v>417</v>
      </c>
      <c r="H3222" s="567">
        <v>4100</v>
      </c>
      <c r="O3222"/>
    </row>
    <row r="3223" spans="1:15" x14ac:dyDescent="0.2">
      <c r="A3223" s="567">
        <v>2387</v>
      </c>
      <c r="B3223" s="568" t="s">
        <v>824</v>
      </c>
      <c r="C3223" s="568" t="s">
        <v>824</v>
      </c>
      <c r="D3223" s="567">
        <v>6870</v>
      </c>
      <c r="E3223" s="567">
        <v>118</v>
      </c>
      <c r="F3223" s="567">
        <v>7</v>
      </c>
      <c r="G3223" s="567">
        <v>337</v>
      </c>
      <c r="H3223" s="567">
        <v>3180</v>
      </c>
      <c r="O3223"/>
    </row>
    <row r="3224" spans="1:15" x14ac:dyDescent="0.2">
      <c r="A3224" s="567">
        <v>2388</v>
      </c>
      <c r="B3224" s="568" t="s">
        <v>824</v>
      </c>
      <c r="C3224" s="568" t="s">
        <v>2570</v>
      </c>
      <c r="D3224" s="567">
        <v>6871</v>
      </c>
      <c r="E3224" s="567">
        <v>118</v>
      </c>
      <c r="F3224" s="567">
        <v>7</v>
      </c>
      <c r="G3224" s="567">
        <v>337</v>
      </c>
      <c r="H3224" s="567">
        <v>3180</v>
      </c>
      <c r="O3224"/>
    </row>
    <row r="3225" spans="1:15" x14ac:dyDescent="0.2">
      <c r="A3225" s="567">
        <v>2390</v>
      </c>
      <c r="B3225" s="568" t="s">
        <v>824</v>
      </c>
      <c r="C3225" s="568" t="s">
        <v>2571</v>
      </c>
      <c r="D3225" s="567">
        <v>6873</v>
      </c>
      <c r="E3225" s="567">
        <v>118</v>
      </c>
      <c r="F3225" s="567">
        <v>7</v>
      </c>
      <c r="G3225" s="567">
        <v>337</v>
      </c>
      <c r="H3225" s="567">
        <v>3180</v>
      </c>
      <c r="O3225"/>
    </row>
    <row r="3226" spans="1:15" x14ac:dyDescent="0.2">
      <c r="A3226" s="567">
        <v>2389</v>
      </c>
      <c r="B3226" s="568" t="s">
        <v>824</v>
      </c>
      <c r="C3226" s="568" t="s">
        <v>2574</v>
      </c>
      <c r="D3226" s="567">
        <v>6872</v>
      </c>
      <c r="E3226" s="567">
        <v>118</v>
      </c>
      <c r="F3226" s="567">
        <v>7</v>
      </c>
      <c r="G3226" s="567">
        <v>337</v>
      </c>
      <c r="H3226" s="567">
        <v>3180</v>
      </c>
      <c r="O3226"/>
    </row>
    <row r="3227" spans="1:15" x14ac:dyDescent="0.2">
      <c r="A3227" s="567">
        <v>2391</v>
      </c>
      <c r="B3227" s="568" t="s">
        <v>824</v>
      </c>
      <c r="C3227" s="568" t="s">
        <v>2584</v>
      </c>
      <c r="D3227" s="567">
        <v>6874</v>
      </c>
      <c r="E3227" s="567">
        <v>118</v>
      </c>
      <c r="F3227" s="567">
        <v>7</v>
      </c>
      <c r="G3227" s="567">
        <v>337</v>
      </c>
      <c r="H3227" s="567">
        <v>3180</v>
      </c>
      <c r="O3227"/>
    </row>
    <row r="3228" spans="1:15" x14ac:dyDescent="0.2">
      <c r="A3228" s="567">
        <v>772</v>
      </c>
      <c r="B3228" s="568" t="s">
        <v>823</v>
      </c>
      <c r="C3228" s="568" t="s">
        <v>822</v>
      </c>
      <c r="D3228" s="567">
        <v>1836</v>
      </c>
      <c r="E3228" s="567">
        <v>70</v>
      </c>
      <c r="F3228" s="567">
        <v>18</v>
      </c>
      <c r="G3228" s="567">
        <v>116</v>
      </c>
      <c r="H3228" s="567">
        <v>1180</v>
      </c>
      <c r="O3228"/>
    </row>
    <row r="3229" spans="1:15" x14ac:dyDescent="0.2">
      <c r="A3229" s="567">
        <v>771</v>
      </c>
      <c r="B3229" s="568" t="s">
        <v>823</v>
      </c>
      <c r="C3229" s="568" t="s">
        <v>824</v>
      </c>
      <c r="D3229" s="567">
        <v>1835</v>
      </c>
      <c r="E3229" s="567">
        <v>70</v>
      </c>
      <c r="F3229" s="567">
        <v>18</v>
      </c>
      <c r="G3229" s="567">
        <v>116</v>
      </c>
      <c r="H3229" s="567">
        <v>1180</v>
      </c>
      <c r="O3229"/>
    </row>
    <row r="3230" spans="1:15" x14ac:dyDescent="0.2">
      <c r="A3230" s="567">
        <v>3283</v>
      </c>
      <c r="B3230" s="568" t="s">
        <v>1351</v>
      </c>
      <c r="C3230" s="568" t="s">
        <v>1351</v>
      </c>
      <c r="D3230" s="567">
        <v>9570</v>
      </c>
      <c r="E3230" s="567">
        <v>82</v>
      </c>
      <c r="F3230" s="567">
        <v>9</v>
      </c>
      <c r="G3230" s="567">
        <v>436</v>
      </c>
      <c r="H3230" s="567">
        <v>4120</v>
      </c>
      <c r="O3230"/>
    </row>
    <row r="3231" spans="1:15" x14ac:dyDescent="0.2">
      <c r="A3231" s="567">
        <v>1303</v>
      </c>
      <c r="B3231" s="568" t="s">
        <v>1352</v>
      </c>
      <c r="C3231" s="568" t="s">
        <v>1351</v>
      </c>
      <c r="D3231" s="567">
        <v>3525</v>
      </c>
      <c r="E3231" s="567">
        <v>90</v>
      </c>
      <c r="F3231" s="567">
        <v>2</v>
      </c>
      <c r="G3231" s="567">
        <v>215</v>
      </c>
      <c r="H3231" s="567">
        <v>2121</v>
      </c>
      <c r="O3231"/>
    </row>
    <row r="3232" spans="1:15" x14ac:dyDescent="0.2">
      <c r="A3232" s="567">
        <v>1131</v>
      </c>
      <c r="B3232" s="568" t="s">
        <v>1366</v>
      </c>
      <c r="C3232" s="568" t="s">
        <v>1366</v>
      </c>
      <c r="D3232" s="567">
        <v>2940</v>
      </c>
      <c r="E3232" s="567">
        <v>96</v>
      </c>
      <c r="F3232" s="567">
        <v>1</v>
      </c>
      <c r="G3232" s="567">
        <v>226</v>
      </c>
      <c r="H3232" s="567">
        <v>2130</v>
      </c>
      <c r="O3232"/>
    </row>
    <row r="3233" spans="1:15" x14ac:dyDescent="0.2">
      <c r="A3233" s="567">
        <v>1137</v>
      </c>
      <c r="B3233" s="568" t="s">
        <v>1366</v>
      </c>
      <c r="C3233" s="568" t="s">
        <v>234</v>
      </c>
      <c r="D3233" s="567">
        <v>2946</v>
      </c>
      <c r="E3233" s="567">
        <v>96</v>
      </c>
      <c r="F3233" s="567">
        <v>1</v>
      </c>
      <c r="G3233" s="567">
        <v>226</v>
      </c>
      <c r="H3233" s="567">
        <v>2130</v>
      </c>
      <c r="O3233"/>
    </row>
    <row r="3234" spans="1:15" x14ac:dyDescent="0.2">
      <c r="A3234" s="567">
        <v>1136</v>
      </c>
      <c r="B3234" s="568" t="s">
        <v>1366</v>
      </c>
      <c r="C3234" s="568" t="s">
        <v>1375</v>
      </c>
      <c r="D3234" s="567">
        <v>2945</v>
      </c>
      <c r="E3234" s="567">
        <v>96</v>
      </c>
      <c r="F3234" s="567">
        <v>1</v>
      </c>
      <c r="G3234" s="567">
        <v>226</v>
      </c>
      <c r="H3234" s="567">
        <v>2130</v>
      </c>
      <c r="O3234"/>
    </row>
    <row r="3235" spans="1:15" x14ac:dyDescent="0.2">
      <c r="A3235" s="567">
        <v>1135</v>
      </c>
      <c r="B3235" s="568" t="s">
        <v>1366</v>
      </c>
      <c r="C3235" s="568" t="s">
        <v>1376</v>
      </c>
      <c r="D3235" s="567">
        <v>2944</v>
      </c>
      <c r="E3235" s="567">
        <v>96</v>
      </c>
      <c r="F3235" s="567">
        <v>1</v>
      </c>
      <c r="G3235" s="567">
        <v>226</v>
      </c>
      <c r="H3235" s="567">
        <v>2130</v>
      </c>
      <c r="O3235"/>
    </row>
    <row r="3236" spans="1:15" x14ac:dyDescent="0.2">
      <c r="A3236" s="567">
        <v>1134</v>
      </c>
      <c r="B3236" s="568" t="s">
        <v>1366</v>
      </c>
      <c r="C3236" s="568" t="s">
        <v>1377</v>
      </c>
      <c r="D3236" s="567">
        <v>2943</v>
      </c>
      <c r="E3236" s="567">
        <v>96</v>
      </c>
      <c r="F3236" s="567">
        <v>1</v>
      </c>
      <c r="G3236" s="567">
        <v>226</v>
      </c>
      <c r="H3236" s="567">
        <v>2130</v>
      </c>
      <c r="O3236"/>
    </row>
    <row r="3237" spans="1:15" x14ac:dyDescent="0.2">
      <c r="A3237" s="567">
        <v>1132</v>
      </c>
      <c r="B3237" s="568" t="s">
        <v>1366</v>
      </c>
      <c r="C3237" s="568" t="s">
        <v>1378</v>
      </c>
      <c r="D3237" s="567">
        <v>2941</v>
      </c>
      <c r="E3237" s="567">
        <v>96</v>
      </c>
      <c r="F3237" s="567">
        <v>1</v>
      </c>
      <c r="G3237" s="567">
        <v>226</v>
      </c>
      <c r="H3237" s="567">
        <v>2130</v>
      </c>
      <c r="O3237"/>
    </row>
    <row r="3238" spans="1:15" x14ac:dyDescent="0.2">
      <c r="A3238" s="567">
        <v>1133</v>
      </c>
      <c r="B3238" s="568" t="s">
        <v>1366</v>
      </c>
      <c r="C3238" s="568" t="s">
        <v>1381</v>
      </c>
      <c r="D3238" s="567">
        <v>2942</v>
      </c>
      <c r="E3238" s="567">
        <v>96</v>
      </c>
      <c r="F3238" s="567">
        <v>1</v>
      </c>
      <c r="G3238" s="567">
        <v>226</v>
      </c>
      <c r="H3238" s="567">
        <v>2130</v>
      </c>
      <c r="O3238"/>
    </row>
    <row r="3239" spans="1:15" x14ac:dyDescent="0.2">
      <c r="A3239" s="567">
        <v>423</v>
      </c>
      <c r="B3239" s="568" t="s">
        <v>635</v>
      </c>
      <c r="C3239" s="568" t="s">
        <v>634</v>
      </c>
      <c r="D3239" s="567">
        <v>787</v>
      </c>
      <c r="E3239" s="567">
        <v>102</v>
      </c>
      <c r="F3239" s="567">
        <v>1</v>
      </c>
      <c r="G3239" s="567">
        <v>125</v>
      </c>
      <c r="H3239" s="567">
        <v>1150</v>
      </c>
      <c r="O3239"/>
    </row>
    <row r="3240" spans="1:15" x14ac:dyDescent="0.2">
      <c r="A3240" s="567">
        <v>424</v>
      </c>
      <c r="B3240" s="568" t="s">
        <v>635</v>
      </c>
      <c r="C3240" s="568" t="s">
        <v>639</v>
      </c>
      <c r="D3240" s="567">
        <v>788</v>
      </c>
      <c r="E3240" s="567">
        <v>102</v>
      </c>
      <c r="F3240" s="567">
        <v>1</v>
      </c>
      <c r="G3240" s="567">
        <v>125</v>
      </c>
      <c r="H3240" s="567">
        <v>1150</v>
      </c>
      <c r="O3240"/>
    </row>
    <row r="3241" spans="1:15" x14ac:dyDescent="0.2">
      <c r="A3241" s="567">
        <v>422</v>
      </c>
      <c r="B3241" s="568" t="s">
        <v>635</v>
      </c>
      <c r="C3241" s="568" t="s">
        <v>641</v>
      </c>
      <c r="D3241" s="567">
        <v>786</v>
      </c>
      <c r="E3241" s="567">
        <v>102</v>
      </c>
      <c r="F3241" s="567">
        <v>1</v>
      </c>
      <c r="G3241" s="567">
        <v>125</v>
      </c>
      <c r="H3241" s="567">
        <v>1150</v>
      </c>
      <c r="O3241"/>
    </row>
    <row r="3242" spans="1:15" x14ac:dyDescent="0.2">
      <c r="A3242" s="567">
        <v>421</v>
      </c>
      <c r="B3242" s="568" t="s">
        <v>635</v>
      </c>
      <c r="C3242" s="568" t="s">
        <v>635</v>
      </c>
      <c r="D3242" s="567">
        <v>785</v>
      </c>
      <c r="E3242" s="567">
        <v>102</v>
      </c>
      <c r="F3242" s="567">
        <v>1</v>
      </c>
      <c r="G3242" s="567">
        <v>125</v>
      </c>
      <c r="H3242" s="567">
        <v>1150</v>
      </c>
      <c r="O3242"/>
    </row>
    <row r="3243" spans="1:15" x14ac:dyDescent="0.2">
      <c r="A3243" s="567">
        <v>649</v>
      </c>
      <c r="B3243" s="568" t="s">
        <v>191</v>
      </c>
      <c r="C3243" s="568" t="s">
        <v>190</v>
      </c>
      <c r="D3243" s="567">
        <v>1434</v>
      </c>
      <c r="E3243" s="567">
        <v>91</v>
      </c>
      <c r="F3243" s="567">
        <v>2</v>
      </c>
      <c r="G3243" s="567">
        <v>119</v>
      </c>
      <c r="H3243" s="567">
        <v>1110</v>
      </c>
      <c r="O3243"/>
    </row>
    <row r="3244" spans="1:15" x14ac:dyDescent="0.2">
      <c r="A3244" s="567">
        <v>648</v>
      </c>
      <c r="B3244" s="568" t="s">
        <v>191</v>
      </c>
      <c r="C3244" s="568" t="s">
        <v>192</v>
      </c>
      <c r="D3244" s="567">
        <v>1433</v>
      </c>
      <c r="E3244" s="567">
        <v>91</v>
      </c>
      <c r="F3244" s="567">
        <v>2</v>
      </c>
      <c r="G3244" s="567">
        <v>119</v>
      </c>
      <c r="H3244" s="567">
        <v>1110</v>
      </c>
      <c r="O3244"/>
    </row>
    <row r="3245" spans="1:15" x14ac:dyDescent="0.2">
      <c r="A3245" s="567">
        <v>647</v>
      </c>
      <c r="B3245" s="568" t="s">
        <v>191</v>
      </c>
      <c r="C3245" s="568" t="s">
        <v>193</v>
      </c>
      <c r="D3245" s="567">
        <v>1432</v>
      </c>
      <c r="E3245" s="567">
        <v>91</v>
      </c>
      <c r="F3245" s="567">
        <v>2</v>
      </c>
      <c r="G3245" s="567">
        <v>119</v>
      </c>
      <c r="H3245" s="567">
        <v>1110</v>
      </c>
      <c r="O3245"/>
    </row>
    <row r="3246" spans="1:15" x14ac:dyDescent="0.2">
      <c r="A3246" s="567">
        <v>646</v>
      </c>
      <c r="B3246" s="568" t="s">
        <v>191</v>
      </c>
      <c r="C3246" s="568" t="s">
        <v>194</v>
      </c>
      <c r="D3246" s="567">
        <v>1431</v>
      </c>
      <c r="E3246" s="567">
        <v>91</v>
      </c>
      <c r="F3246" s="567">
        <v>2</v>
      </c>
      <c r="G3246" s="567">
        <v>119</v>
      </c>
      <c r="H3246" s="567">
        <v>1110</v>
      </c>
      <c r="O3246"/>
    </row>
    <row r="3247" spans="1:15" x14ac:dyDescent="0.2">
      <c r="A3247" s="567">
        <v>645</v>
      </c>
      <c r="B3247" s="568" t="s">
        <v>191</v>
      </c>
      <c r="C3247" s="568" t="s">
        <v>195</v>
      </c>
      <c r="D3247" s="567">
        <v>1430</v>
      </c>
      <c r="E3247" s="567">
        <v>91</v>
      </c>
      <c r="F3247" s="567">
        <v>2</v>
      </c>
      <c r="G3247" s="567">
        <v>119</v>
      </c>
      <c r="H3247" s="567">
        <v>1110</v>
      </c>
      <c r="O3247"/>
    </row>
    <row r="3248" spans="1:15" x14ac:dyDescent="0.2">
      <c r="A3248" s="567">
        <v>1372</v>
      </c>
      <c r="B3248" s="568" t="s">
        <v>1108</v>
      </c>
      <c r="C3248" s="568" t="s">
        <v>1108</v>
      </c>
      <c r="D3248" s="567">
        <v>3745</v>
      </c>
      <c r="E3248" s="567">
        <v>59</v>
      </c>
      <c r="F3248" s="567">
        <v>5</v>
      </c>
      <c r="G3248" s="567">
        <v>216</v>
      </c>
      <c r="H3248" s="567">
        <v>2100</v>
      </c>
      <c r="O3248"/>
    </row>
    <row r="3249" spans="1:15" x14ac:dyDescent="0.2">
      <c r="A3249" s="567">
        <v>1373</v>
      </c>
      <c r="B3249" s="568" t="s">
        <v>1108</v>
      </c>
      <c r="C3249" s="568" t="s">
        <v>1109</v>
      </c>
      <c r="D3249" s="567">
        <v>3746</v>
      </c>
      <c r="E3249" s="567">
        <v>59</v>
      </c>
      <c r="F3249" s="567">
        <v>5</v>
      </c>
      <c r="G3249" s="567">
        <v>216</v>
      </c>
      <c r="H3249" s="567">
        <v>2100</v>
      </c>
      <c r="O3249"/>
    </row>
    <row r="3250" spans="1:15" x14ac:dyDescent="0.2">
      <c r="A3250" s="567">
        <v>678</v>
      </c>
      <c r="B3250" s="568" t="s">
        <v>671</v>
      </c>
      <c r="C3250" s="568" t="s">
        <v>671</v>
      </c>
      <c r="D3250" s="567">
        <v>1490</v>
      </c>
      <c r="E3250" s="567">
        <v>52</v>
      </c>
      <c r="F3250" s="567">
        <v>17</v>
      </c>
      <c r="G3250" s="567">
        <v>115</v>
      </c>
      <c r="H3250" s="567">
        <v>1161</v>
      </c>
      <c r="O3250"/>
    </row>
    <row r="3251" spans="1:15" x14ac:dyDescent="0.2">
      <c r="A3251" s="567">
        <v>679</v>
      </c>
      <c r="B3251" s="568" t="s">
        <v>671</v>
      </c>
      <c r="C3251" s="568" t="s">
        <v>674</v>
      </c>
      <c r="D3251" s="567">
        <v>1491</v>
      </c>
      <c r="E3251" s="567">
        <v>52</v>
      </c>
      <c r="F3251" s="567">
        <v>17</v>
      </c>
      <c r="G3251" s="567">
        <v>115</v>
      </c>
      <c r="H3251" s="567">
        <v>1161</v>
      </c>
      <c r="O3251"/>
    </row>
    <row r="3252" spans="1:15" x14ac:dyDescent="0.2">
      <c r="A3252" s="567">
        <v>585</v>
      </c>
      <c r="B3252" s="568" t="s">
        <v>261</v>
      </c>
      <c r="C3252" s="568" t="s">
        <v>260</v>
      </c>
      <c r="D3252" s="567">
        <v>1263</v>
      </c>
      <c r="E3252" s="567">
        <v>83</v>
      </c>
      <c r="F3252" s="567">
        <v>19</v>
      </c>
      <c r="G3252" s="567">
        <v>119</v>
      </c>
      <c r="H3252" s="567">
        <v>1110</v>
      </c>
      <c r="O3252"/>
    </row>
    <row r="3253" spans="1:15" x14ac:dyDescent="0.2">
      <c r="A3253" s="567">
        <v>584</v>
      </c>
      <c r="B3253" s="568" t="s">
        <v>261</v>
      </c>
      <c r="C3253" s="568" t="s">
        <v>262</v>
      </c>
      <c r="D3253" s="567">
        <v>1262</v>
      </c>
      <c r="E3253" s="567">
        <v>83</v>
      </c>
      <c r="F3253" s="567">
        <v>19</v>
      </c>
      <c r="G3253" s="567">
        <v>119</v>
      </c>
      <c r="H3253" s="567">
        <v>1110</v>
      </c>
      <c r="O3253"/>
    </row>
    <row r="3254" spans="1:15" x14ac:dyDescent="0.2">
      <c r="A3254" s="567">
        <v>583</v>
      </c>
      <c r="B3254" s="568" t="s">
        <v>261</v>
      </c>
      <c r="C3254" s="568" t="s">
        <v>263</v>
      </c>
      <c r="D3254" s="567">
        <v>1261</v>
      </c>
      <c r="E3254" s="567">
        <v>83</v>
      </c>
      <c r="F3254" s="567">
        <v>19</v>
      </c>
      <c r="G3254" s="567">
        <v>119</v>
      </c>
      <c r="H3254" s="567">
        <v>1110</v>
      </c>
      <c r="O3254"/>
    </row>
    <row r="3255" spans="1:15" x14ac:dyDescent="0.2">
      <c r="A3255" s="567">
        <v>582</v>
      </c>
      <c r="B3255" s="568" t="s">
        <v>261</v>
      </c>
      <c r="C3255" s="568" t="s">
        <v>264</v>
      </c>
      <c r="D3255" s="567">
        <v>1260</v>
      </c>
      <c r="E3255" s="567">
        <v>83</v>
      </c>
      <c r="F3255" s="567">
        <v>19</v>
      </c>
      <c r="G3255" s="567">
        <v>119</v>
      </c>
      <c r="H3255" s="567">
        <v>1110</v>
      </c>
      <c r="O3255"/>
    </row>
    <row r="3256" spans="1:15" x14ac:dyDescent="0.2">
      <c r="A3256" s="567">
        <v>187</v>
      </c>
      <c r="B3256" s="568" t="s">
        <v>933</v>
      </c>
      <c r="C3256" s="568" t="s">
        <v>933</v>
      </c>
      <c r="D3256" s="567">
        <v>295</v>
      </c>
      <c r="E3256" s="567">
        <v>86</v>
      </c>
      <c r="F3256" s="567">
        <v>21</v>
      </c>
      <c r="G3256" s="567">
        <v>126</v>
      </c>
      <c r="H3256" s="567">
        <v>1190</v>
      </c>
      <c r="O3256"/>
    </row>
    <row r="3257" spans="1:15" x14ac:dyDescent="0.2">
      <c r="A3257" s="567">
        <v>188</v>
      </c>
      <c r="B3257" s="568" t="s">
        <v>933</v>
      </c>
      <c r="C3257" s="568" t="s">
        <v>965</v>
      </c>
      <c r="D3257" s="567">
        <v>296</v>
      </c>
      <c r="E3257" s="567">
        <v>86</v>
      </c>
      <c r="F3257" s="567">
        <v>21</v>
      </c>
      <c r="G3257" s="567">
        <v>126</v>
      </c>
      <c r="H3257" s="567">
        <v>1190</v>
      </c>
      <c r="O3257"/>
    </row>
    <row r="3258" spans="1:15" x14ac:dyDescent="0.2">
      <c r="A3258" s="567">
        <v>1824</v>
      </c>
      <c r="B3258" s="568" t="s">
        <v>1848</v>
      </c>
      <c r="C3258" s="568" t="s">
        <v>1848</v>
      </c>
      <c r="D3258" s="567">
        <v>5060</v>
      </c>
      <c r="E3258" s="567">
        <v>49</v>
      </c>
      <c r="F3258" s="567">
        <v>3</v>
      </c>
      <c r="G3258" s="567">
        <v>316</v>
      </c>
      <c r="H3258" s="567">
        <v>3110</v>
      </c>
      <c r="O3258"/>
    </row>
    <row r="3259" spans="1:15" x14ac:dyDescent="0.2">
      <c r="A3259" s="567">
        <v>2085</v>
      </c>
      <c r="B3259" s="568" t="s">
        <v>2410</v>
      </c>
      <c r="C3259" s="568" t="s">
        <v>2410</v>
      </c>
      <c r="D3259" s="567">
        <v>5945</v>
      </c>
      <c r="E3259" s="567">
        <v>64</v>
      </c>
      <c r="F3259" s="567">
        <v>16</v>
      </c>
      <c r="G3259" s="567">
        <v>325</v>
      </c>
      <c r="H3259" s="567">
        <v>3160</v>
      </c>
      <c r="O3259"/>
    </row>
    <row r="3260" spans="1:15" x14ac:dyDescent="0.2">
      <c r="A3260" s="567">
        <v>2086</v>
      </c>
      <c r="B3260" s="568" t="s">
        <v>2410</v>
      </c>
      <c r="C3260" s="568" t="s">
        <v>2411</v>
      </c>
      <c r="D3260" s="567">
        <v>5946</v>
      </c>
      <c r="E3260" s="567">
        <v>64</v>
      </c>
      <c r="F3260" s="567">
        <v>16</v>
      </c>
      <c r="G3260" s="567">
        <v>325</v>
      </c>
      <c r="H3260" s="567">
        <v>3160</v>
      </c>
      <c r="O3260"/>
    </row>
    <row r="3261" spans="1:15" x14ac:dyDescent="0.2">
      <c r="A3261" s="567">
        <v>591</v>
      </c>
      <c r="B3261" s="568" t="s">
        <v>241</v>
      </c>
      <c r="C3261" s="568" t="s">
        <v>241</v>
      </c>
      <c r="D3261" s="567">
        <v>1295</v>
      </c>
      <c r="E3261" s="567">
        <v>84</v>
      </c>
      <c r="F3261" s="567">
        <v>19</v>
      </c>
      <c r="G3261" s="567">
        <v>119</v>
      </c>
      <c r="H3261" s="567">
        <v>1110</v>
      </c>
      <c r="O3261"/>
    </row>
    <row r="3262" spans="1:15" x14ac:dyDescent="0.2">
      <c r="A3262" s="567">
        <v>2485</v>
      </c>
      <c r="B3262" s="568" t="s">
        <v>2072</v>
      </c>
      <c r="C3262" s="568" t="s">
        <v>2072</v>
      </c>
      <c r="D3262" s="567">
        <v>7130</v>
      </c>
      <c r="E3262" s="567">
        <v>94</v>
      </c>
      <c r="F3262" s="567">
        <v>6</v>
      </c>
      <c r="G3262" s="567">
        <v>336</v>
      </c>
      <c r="H3262" s="567">
        <v>3130</v>
      </c>
      <c r="O3262"/>
    </row>
    <row r="3263" spans="1:15" x14ac:dyDescent="0.2">
      <c r="A3263" s="567">
        <v>752</v>
      </c>
      <c r="B3263" s="568" t="s">
        <v>885</v>
      </c>
      <c r="C3263" s="568" t="s">
        <v>884</v>
      </c>
      <c r="D3263" s="567">
        <v>1770</v>
      </c>
      <c r="E3263" s="567">
        <v>71</v>
      </c>
      <c r="F3263" s="567">
        <v>2</v>
      </c>
      <c r="G3263" s="567">
        <v>116</v>
      </c>
      <c r="H3263" s="567">
        <v>1180</v>
      </c>
      <c r="O3263"/>
    </row>
    <row r="3264" spans="1:15" x14ac:dyDescent="0.2">
      <c r="A3264" s="567">
        <v>28</v>
      </c>
      <c r="B3264" s="568" t="s">
        <v>272</v>
      </c>
      <c r="C3264" s="568" t="s">
        <v>272</v>
      </c>
      <c r="D3264" s="567">
        <v>40</v>
      </c>
      <c r="E3264" s="567">
        <v>128</v>
      </c>
      <c r="F3264" s="567">
        <v>21</v>
      </c>
      <c r="G3264" s="567">
        <v>128</v>
      </c>
      <c r="H3264" s="567">
        <v>1121</v>
      </c>
      <c r="O3264"/>
    </row>
    <row r="3265" spans="1:15" x14ac:dyDescent="0.2">
      <c r="A3265" s="567">
        <v>29</v>
      </c>
      <c r="B3265" s="568" t="s">
        <v>272</v>
      </c>
      <c r="C3265" s="568" t="s">
        <v>273</v>
      </c>
      <c r="D3265" s="567">
        <v>41</v>
      </c>
      <c r="E3265" s="567">
        <v>128</v>
      </c>
      <c r="F3265" s="567">
        <v>21</v>
      </c>
      <c r="G3265" s="567">
        <v>128</v>
      </c>
      <c r="H3265" s="567">
        <v>1121</v>
      </c>
      <c r="O3265"/>
    </row>
    <row r="3266" spans="1:15" x14ac:dyDescent="0.2">
      <c r="A3266" s="567">
        <v>30</v>
      </c>
      <c r="B3266" s="568" t="s">
        <v>272</v>
      </c>
      <c r="C3266" s="568" t="s">
        <v>274</v>
      </c>
      <c r="D3266" s="567">
        <v>42</v>
      </c>
      <c r="E3266" s="567">
        <v>128</v>
      </c>
      <c r="F3266" s="567">
        <v>21</v>
      </c>
      <c r="G3266" s="567">
        <v>128</v>
      </c>
      <c r="H3266" s="567">
        <v>1121</v>
      </c>
      <c r="O3266"/>
    </row>
    <row r="3267" spans="1:15" x14ac:dyDescent="0.2">
      <c r="A3267" s="567">
        <v>31</v>
      </c>
      <c r="B3267" s="568" t="s">
        <v>272</v>
      </c>
      <c r="C3267" s="568" t="s">
        <v>275</v>
      </c>
      <c r="D3267" s="567">
        <v>43</v>
      </c>
      <c r="E3267" s="567">
        <v>128</v>
      </c>
      <c r="F3267" s="567">
        <v>21</v>
      </c>
      <c r="G3267" s="567">
        <v>128</v>
      </c>
      <c r="H3267" s="567">
        <v>1121</v>
      </c>
      <c r="O3267"/>
    </row>
    <row r="3268" spans="1:15" x14ac:dyDescent="0.2">
      <c r="A3268" s="567">
        <v>32</v>
      </c>
      <c r="B3268" s="568" t="s">
        <v>272</v>
      </c>
      <c r="C3268" s="568" t="s">
        <v>276</v>
      </c>
      <c r="D3268" s="567">
        <v>44</v>
      </c>
      <c r="E3268" s="567">
        <v>128</v>
      </c>
      <c r="F3268" s="567">
        <v>21</v>
      </c>
      <c r="G3268" s="567">
        <v>128</v>
      </c>
      <c r="H3268" s="567">
        <v>1121</v>
      </c>
      <c r="O3268"/>
    </row>
    <row r="3269" spans="1:15" x14ac:dyDescent="0.2">
      <c r="A3269" s="567">
        <v>33</v>
      </c>
      <c r="B3269" s="568" t="s">
        <v>272</v>
      </c>
      <c r="C3269" s="568" t="s">
        <v>277</v>
      </c>
      <c r="D3269" s="567">
        <v>45</v>
      </c>
      <c r="E3269" s="567">
        <v>128</v>
      </c>
      <c r="F3269" s="567">
        <v>21</v>
      </c>
      <c r="G3269" s="567">
        <v>128</v>
      </c>
      <c r="H3269" s="567">
        <v>1121</v>
      </c>
      <c r="O3269"/>
    </row>
    <row r="3270" spans="1:15" x14ac:dyDescent="0.2">
      <c r="A3270" s="567">
        <v>750</v>
      </c>
      <c r="B3270" s="568" t="s">
        <v>882</v>
      </c>
      <c r="C3270" s="568" t="s">
        <v>881</v>
      </c>
      <c r="D3270" s="567">
        <v>1760</v>
      </c>
      <c r="E3270" s="567">
        <v>72</v>
      </c>
      <c r="F3270" s="567">
        <v>2</v>
      </c>
      <c r="G3270" s="567">
        <v>116</v>
      </c>
      <c r="H3270" s="567">
        <v>1180</v>
      </c>
      <c r="O3270"/>
    </row>
    <row r="3271" spans="1:15" x14ac:dyDescent="0.2">
      <c r="A3271" s="567">
        <v>14</v>
      </c>
      <c r="B3271" s="568" t="s">
        <v>295</v>
      </c>
      <c r="C3271" s="568" t="s">
        <v>294</v>
      </c>
      <c r="D3271" s="567">
        <v>18</v>
      </c>
      <c r="E3271" s="567">
        <v>131</v>
      </c>
      <c r="F3271" s="567">
        <v>21</v>
      </c>
      <c r="G3271" s="567">
        <v>128</v>
      </c>
      <c r="H3271" s="567">
        <v>1121</v>
      </c>
      <c r="O3271"/>
    </row>
    <row r="3272" spans="1:15" x14ac:dyDescent="0.2">
      <c r="A3272" s="567">
        <v>7</v>
      </c>
      <c r="B3272" s="568" t="s">
        <v>295</v>
      </c>
      <c r="C3272" s="568" t="s">
        <v>301</v>
      </c>
      <c r="D3272" s="567">
        <v>11</v>
      </c>
      <c r="E3272" s="567">
        <v>131</v>
      </c>
      <c r="F3272" s="567">
        <v>21</v>
      </c>
      <c r="G3272" s="567">
        <v>128</v>
      </c>
      <c r="H3272" s="567">
        <v>1121</v>
      </c>
      <c r="O3272"/>
    </row>
    <row r="3273" spans="1:15" x14ac:dyDescent="0.2">
      <c r="A3273" s="567">
        <v>8</v>
      </c>
      <c r="B3273" s="568" t="s">
        <v>295</v>
      </c>
      <c r="C3273" s="568" t="s">
        <v>302</v>
      </c>
      <c r="D3273" s="567">
        <v>12</v>
      </c>
      <c r="E3273" s="567">
        <v>131</v>
      </c>
      <c r="F3273" s="567">
        <v>21</v>
      </c>
      <c r="G3273" s="567">
        <v>128</v>
      </c>
      <c r="H3273" s="567">
        <v>1121</v>
      </c>
      <c r="O3273"/>
    </row>
    <row r="3274" spans="1:15" x14ac:dyDescent="0.2">
      <c r="A3274" s="567">
        <v>9</v>
      </c>
      <c r="B3274" s="568" t="s">
        <v>295</v>
      </c>
      <c r="C3274" s="568" t="s">
        <v>303</v>
      </c>
      <c r="D3274" s="567">
        <v>13</v>
      </c>
      <c r="E3274" s="567">
        <v>131</v>
      </c>
      <c r="F3274" s="567">
        <v>21</v>
      </c>
      <c r="G3274" s="567">
        <v>128</v>
      </c>
      <c r="H3274" s="567">
        <v>1121</v>
      </c>
      <c r="O3274"/>
    </row>
    <row r="3275" spans="1:15" x14ac:dyDescent="0.2">
      <c r="A3275" s="567">
        <v>10</v>
      </c>
      <c r="B3275" s="568" t="s">
        <v>295</v>
      </c>
      <c r="C3275" s="568" t="s">
        <v>304</v>
      </c>
      <c r="D3275" s="567">
        <v>14</v>
      </c>
      <c r="E3275" s="567">
        <v>131</v>
      </c>
      <c r="F3275" s="567">
        <v>21</v>
      </c>
      <c r="G3275" s="567">
        <v>128</v>
      </c>
      <c r="H3275" s="567">
        <v>1121</v>
      </c>
      <c r="O3275"/>
    </row>
    <row r="3276" spans="1:15" x14ac:dyDescent="0.2">
      <c r="A3276" s="567">
        <v>11</v>
      </c>
      <c r="B3276" s="568" t="s">
        <v>295</v>
      </c>
      <c r="C3276" s="568" t="s">
        <v>305</v>
      </c>
      <c r="D3276" s="567">
        <v>15</v>
      </c>
      <c r="E3276" s="567">
        <v>131</v>
      </c>
      <c r="F3276" s="567">
        <v>21</v>
      </c>
      <c r="G3276" s="567">
        <v>128</v>
      </c>
      <c r="H3276" s="567">
        <v>1121</v>
      </c>
      <c r="O3276"/>
    </row>
    <row r="3277" spans="1:15" x14ac:dyDescent="0.2">
      <c r="A3277" s="567">
        <v>13</v>
      </c>
      <c r="B3277" s="568" t="s">
        <v>295</v>
      </c>
      <c r="C3277" s="568" t="s">
        <v>307</v>
      </c>
      <c r="D3277" s="567">
        <v>17</v>
      </c>
      <c r="E3277" s="567">
        <v>131</v>
      </c>
      <c r="F3277" s="567">
        <v>21</v>
      </c>
      <c r="G3277" s="567">
        <v>128</v>
      </c>
      <c r="H3277" s="567">
        <v>1121</v>
      </c>
      <c r="O3277"/>
    </row>
    <row r="3278" spans="1:15" x14ac:dyDescent="0.2">
      <c r="A3278" s="567">
        <v>15</v>
      </c>
      <c r="B3278" s="568" t="s">
        <v>295</v>
      </c>
      <c r="C3278" s="568" t="s">
        <v>310</v>
      </c>
      <c r="D3278" s="567">
        <v>19</v>
      </c>
      <c r="E3278" s="567">
        <v>131</v>
      </c>
      <c r="F3278" s="567">
        <v>21</v>
      </c>
      <c r="G3278" s="567">
        <v>128</v>
      </c>
      <c r="H3278" s="567">
        <v>1121</v>
      </c>
      <c r="O3278"/>
    </row>
    <row r="3279" spans="1:15" x14ac:dyDescent="0.2">
      <c r="A3279" s="567">
        <v>16</v>
      </c>
      <c r="B3279" s="568" t="s">
        <v>295</v>
      </c>
      <c r="C3279" s="568" t="s">
        <v>311</v>
      </c>
      <c r="D3279" s="567">
        <v>20</v>
      </c>
      <c r="E3279" s="567">
        <v>131</v>
      </c>
      <c r="F3279" s="567">
        <v>21</v>
      </c>
      <c r="G3279" s="567">
        <v>128</v>
      </c>
      <c r="H3279" s="567">
        <v>1121</v>
      </c>
      <c r="O3279"/>
    </row>
    <row r="3280" spans="1:15" x14ac:dyDescent="0.2">
      <c r="A3280" s="567">
        <v>17</v>
      </c>
      <c r="B3280" s="568" t="s">
        <v>295</v>
      </c>
      <c r="C3280" s="568" t="s">
        <v>312</v>
      </c>
      <c r="D3280" s="567">
        <v>21</v>
      </c>
      <c r="E3280" s="567">
        <v>131</v>
      </c>
      <c r="F3280" s="567">
        <v>21</v>
      </c>
      <c r="G3280" s="567">
        <v>128</v>
      </c>
      <c r="H3280" s="567">
        <v>1121</v>
      </c>
      <c r="O3280"/>
    </row>
    <row r="3281" spans="1:15" x14ac:dyDescent="0.2">
      <c r="A3281" s="567">
        <v>18</v>
      </c>
      <c r="B3281" s="568" t="s">
        <v>295</v>
      </c>
      <c r="C3281" s="568" t="s">
        <v>313</v>
      </c>
      <c r="D3281" s="567">
        <v>22</v>
      </c>
      <c r="E3281" s="567">
        <v>131</v>
      </c>
      <c r="F3281" s="567">
        <v>21</v>
      </c>
      <c r="G3281" s="567">
        <v>128</v>
      </c>
      <c r="H3281" s="567">
        <v>1121</v>
      </c>
      <c r="O3281"/>
    </row>
    <row r="3282" spans="1:15" x14ac:dyDescent="0.2">
      <c r="A3282" s="567">
        <v>19</v>
      </c>
      <c r="B3282" s="568" t="s">
        <v>295</v>
      </c>
      <c r="C3282" s="568" t="s">
        <v>314</v>
      </c>
      <c r="D3282" s="567">
        <v>23</v>
      </c>
      <c r="E3282" s="567">
        <v>131</v>
      </c>
      <c r="F3282" s="567">
        <v>21</v>
      </c>
      <c r="G3282" s="567">
        <v>128</v>
      </c>
      <c r="H3282" s="567">
        <v>1121</v>
      </c>
      <c r="O3282"/>
    </row>
    <row r="3283" spans="1:15" x14ac:dyDescent="0.2">
      <c r="A3283" s="567">
        <v>20</v>
      </c>
      <c r="B3283" s="568" t="s">
        <v>295</v>
      </c>
      <c r="C3283" s="568" t="s">
        <v>315</v>
      </c>
      <c r="D3283" s="567">
        <v>24</v>
      </c>
      <c r="E3283" s="567">
        <v>131</v>
      </c>
      <c r="F3283" s="567">
        <v>21</v>
      </c>
      <c r="G3283" s="567">
        <v>128</v>
      </c>
      <c r="H3283" s="567">
        <v>1121</v>
      </c>
      <c r="O3283"/>
    </row>
    <row r="3284" spans="1:15" x14ac:dyDescent="0.2">
      <c r="A3284" s="567">
        <v>21</v>
      </c>
      <c r="B3284" s="568" t="s">
        <v>295</v>
      </c>
      <c r="C3284" s="568" t="s">
        <v>316</v>
      </c>
      <c r="D3284" s="567">
        <v>25</v>
      </c>
      <c r="E3284" s="567">
        <v>131</v>
      </c>
      <c r="F3284" s="567">
        <v>21</v>
      </c>
      <c r="G3284" s="567">
        <v>128</v>
      </c>
      <c r="H3284" s="567">
        <v>1121</v>
      </c>
      <c r="O3284"/>
    </row>
    <row r="3285" spans="1:15" x14ac:dyDescent="0.2">
      <c r="A3285" s="567">
        <v>12</v>
      </c>
      <c r="B3285" s="568" t="s">
        <v>295</v>
      </c>
      <c r="C3285" s="568" t="s">
        <v>319</v>
      </c>
      <c r="D3285" s="567">
        <v>16</v>
      </c>
      <c r="E3285" s="567">
        <v>131</v>
      </c>
      <c r="F3285" s="567">
        <v>21</v>
      </c>
      <c r="G3285" s="567">
        <v>128</v>
      </c>
      <c r="H3285" s="567">
        <v>1121</v>
      </c>
      <c r="O3285"/>
    </row>
    <row r="3286" spans="1:15" x14ac:dyDescent="0.2">
      <c r="A3286" s="567">
        <v>6</v>
      </c>
      <c r="B3286" s="568" t="s">
        <v>295</v>
      </c>
      <c r="C3286" s="568" t="s">
        <v>295</v>
      </c>
      <c r="D3286" s="567">
        <v>10</v>
      </c>
      <c r="E3286" s="567">
        <v>131</v>
      </c>
      <c r="F3286" s="567">
        <v>21</v>
      </c>
      <c r="G3286" s="567">
        <v>128</v>
      </c>
      <c r="H3286" s="567">
        <v>1121</v>
      </c>
      <c r="O3286"/>
    </row>
    <row r="3287" spans="1:15" x14ac:dyDescent="0.2">
      <c r="A3287" s="567">
        <v>2862</v>
      </c>
      <c r="B3287" s="568" t="s">
        <v>3224</v>
      </c>
      <c r="C3287" s="568" t="s">
        <v>3224</v>
      </c>
      <c r="D3287" s="567">
        <v>8255</v>
      </c>
      <c r="E3287" s="567">
        <v>134</v>
      </c>
      <c r="F3287" s="567">
        <v>14</v>
      </c>
      <c r="G3287" s="567">
        <v>425</v>
      </c>
      <c r="H3287" s="567">
        <v>4170</v>
      </c>
      <c r="O3287"/>
    </row>
    <row r="3288" spans="1:15" x14ac:dyDescent="0.2">
      <c r="A3288" s="567">
        <v>2852</v>
      </c>
      <c r="B3288" s="568" t="s">
        <v>3216</v>
      </c>
      <c r="C3288" s="568" t="s">
        <v>3216</v>
      </c>
      <c r="D3288" s="567">
        <v>8220</v>
      </c>
      <c r="E3288" s="567">
        <v>135</v>
      </c>
      <c r="F3288" s="567">
        <v>13</v>
      </c>
      <c r="G3288" s="567">
        <v>425</v>
      </c>
      <c r="H3288" s="567">
        <v>4170</v>
      </c>
      <c r="O3288"/>
    </row>
    <row r="3289" spans="1:15" x14ac:dyDescent="0.2">
      <c r="A3289" s="567">
        <v>927</v>
      </c>
      <c r="B3289" s="568" t="s">
        <v>133</v>
      </c>
      <c r="C3289" s="568" t="s">
        <v>133</v>
      </c>
      <c r="D3289" s="567">
        <v>2400</v>
      </c>
      <c r="E3289" s="567">
        <v>82</v>
      </c>
      <c r="F3289" s="567">
        <v>19</v>
      </c>
      <c r="G3289" s="567">
        <v>136</v>
      </c>
      <c r="H3289" s="567">
        <v>1101</v>
      </c>
      <c r="O3289"/>
    </row>
    <row r="3290" spans="1:15" x14ac:dyDescent="0.2">
      <c r="A3290" s="567">
        <v>928</v>
      </c>
      <c r="B3290" s="568" t="s">
        <v>133</v>
      </c>
      <c r="C3290" s="568" t="s">
        <v>134</v>
      </c>
      <c r="D3290" s="567">
        <v>2401</v>
      </c>
      <c r="E3290" s="567">
        <v>82</v>
      </c>
      <c r="F3290" s="567">
        <v>19</v>
      </c>
      <c r="G3290" s="567">
        <v>136</v>
      </c>
      <c r="H3290" s="567">
        <v>1101</v>
      </c>
      <c r="O3290"/>
    </row>
    <row r="3291" spans="1:15" x14ac:dyDescent="0.2">
      <c r="A3291" s="567">
        <v>355</v>
      </c>
      <c r="B3291" s="568" t="s">
        <v>571</v>
      </c>
      <c r="C3291" s="568" t="s">
        <v>571</v>
      </c>
      <c r="D3291" s="567">
        <v>625</v>
      </c>
      <c r="E3291" s="567">
        <v>103</v>
      </c>
      <c r="F3291" s="567">
        <v>21</v>
      </c>
      <c r="G3291" s="567">
        <v>125</v>
      </c>
      <c r="H3291" s="567">
        <v>1150</v>
      </c>
      <c r="O3291"/>
    </row>
    <row r="3292" spans="1:15" x14ac:dyDescent="0.2">
      <c r="A3292" s="567">
        <v>356</v>
      </c>
      <c r="B3292" s="568" t="s">
        <v>571</v>
      </c>
      <c r="C3292" s="568" t="s">
        <v>572</v>
      </c>
      <c r="D3292" s="567">
        <v>626</v>
      </c>
      <c r="E3292" s="567">
        <v>103</v>
      </c>
      <c r="F3292" s="567">
        <v>21</v>
      </c>
      <c r="G3292" s="567">
        <v>125</v>
      </c>
      <c r="H3292" s="567">
        <v>1150</v>
      </c>
      <c r="O3292"/>
    </row>
    <row r="3293" spans="1:15" x14ac:dyDescent="0.2">
      <c r="A3293" s="567">
        <v>2478</v>
      </c>
      <c r="B3293" s="568" t="s">
        <v>2079</v>
      </c>
      <c r="C3293" s="568" t="s">
        <v>2079</v>
      </c>
      <c r="D3293" s="567">
        <v>7095</v>
      </c>
      <c r="E3293" s="567">
        <v>96</v>
      </c>
      <c r="F3293" s="567">
        <v>6</v>
      </c>
      <c r="G3293" s="567">
        <v>336</v>
      </c>
      <c r="H3293" s="567">
        <v>3130</v>
      </c>
      <c r="O3293"/>
    </row>
    <row r="3294" spans="1:15" x14ac:dyDescent="0.2">
      <c r="A3294" s="567">
        <v>1447</v>
      </c>
      <c r="B3294" s="568" t="s">
        <v>1578</v>
      </c>
      <c r="C3294" s="568" t="s">
        <v>1578</v>
      </c>
      <c r="D3294" s="567">
        <v>3960</v>
      </c>
      <c r="E3294" s="567">
        <v>65</v>
      </c>
      <c r="F3294" s="567">
        <v>17</v>
      </c>
      <c r="G3294" s="567">
        <v>236</v>
      </c>
      <c r="H3294" s="567">
        <v>2150</v>
      </c>
      <c r="O3294"/>
    </row>
    <row r="3295" spans="1:15" x14ac:dyDescent="0.2">
      <c r="A3295" s="567">
        <v>2489</v>
      </c>
      <c r="B3295" s="568" t="s">
        <v>2068</v>
      </c>
      <c r="C3295" s="568" t="s">
        <v>2068</v>
      </c>
      <c r="D3295" s="567">
        <v>7150</v>
      </c>
      <c r="E3295" s="567">
        <v>97</v>
      </c>
      <c r="F3295" s="567">
        <v>5</v>
      </c>
      <c r="G3295" s="567">
        <v>336</v>
      </c>
      <c r="H3295" s="567">
        <v>3130</v>
      </c>
      <c r="O3295"/>
    </row>
    <row r="3296" spans="1:15" x14ac:dyDescent="0.2">
      <c r="A3296" s="567">
        <v>1169</v>
      </c>
      <c r="B3296" s="568" t="s">
        <v>1056</v>
      </c>
      <c r="C3296" s="568" t="s">
        <v>1056</v>
      </c>
      <c r="D3296" s="567">
        <v>3060</v>
      </c>
      <c r="E3296" s="567">
        <v>97</v>
      </c>
      <c r="F3296" s="567">
        <v>2</v>
      </c>
      <c r="G3296" s="567">
        <v>226</v>
      </c>
      <c r="H3296" s="567">
        <v>2130</v>
      </c>
      <c r="O3296"/>
    </row>
    <row r="3297" spans="1:15" x14ac:dyDescent="0.2">
      <c r="A3297" s="567">
        <v>871</v>
      </c>
      <c r="B3297" s="568" t="s">
        <v>447</v>
      </c>
      <c r="C3297" s="568" t="s">
        <v>447</v>
      </c>
      <c r="D3297" s="567">
        <v>2205</v>
      </c>
      <c r="E3297" s="567">
        <v>58</v>
      </c>
      <c r="F3297" s="567">
        <v>14</v>
      </c>
      <c r="G3297" s="567">
        <v>117</v>
      </c>
      <c r="H3297" s="567">
        <v>1130</v>
      </c>
      <c r="O3297"/>
    </row>
    <row r="3298" spans="1:15" x14ac:dyDescent="0.2">
      <c r="A3298" s="567">
        <v>2494</v>
      </c>
      <c r="B3298" s="568" t="s">
        <v>2040</v>
      </c>
      <c r="C3298" s="568" t="s">
        <v>2040</v>
      </c>
      <c r="D3298" s="567">
        <v>7175</v>
      </c>
      <c r="E3298" s="567">
        <v>98</v>
      </c>
      <c r="F3298" s="567">
        <v>5</v>
      </c>
      <c r="G3298" s="567">
        <v>336</v>
      </c>
      <c r="H3298" s="567">
        <v>3130</v>
      </c>
      <c r="O3298"/>
    </row>
    <row r="3299" spans="1:15" x14ac:dyDescent="0.2">
      <c r="A3299" s="567">
        <v>1200</v>
      </c>
      <c r="B3299" s="568" t="s">
        <v>1447</v>
      </c>
      <c r="C3299" s="568" t="s">
        <v>1447</v>
      </c>
      <c r="D3299" s="567">
        <v>3200</v>
      </c>
      <c r="E3299" s="567">
        <v>98</v>
      </c>
      <c r="F3299" s="567">
        <v>3</v>
      </c>
      <c r="G3299" s="567">
        <v>226</v>
      </c>
      <c r="H3299" s="567">
        <v>2130</v>
      </c>
      <c r="O3299"/>
    </row>
    <row r="3300" spans="1:15" x14ac:dyDescent="0.2">
      <c r="A3300" s="567">
        <v>1201</v>
      </c>
      <c r="B3300" s="568" t="s">
        <v>1447</v>
      </c>
      <c r="C3300" s="568" t="s">
        <v>1448</v>
      </c>
      <c r="D3300" s="567">
        <v>3201</v>
      </c>
      <c r="E3300" s="567">
        <v>98</v>
      </c>
      <c r="F3300" s="567">
        <v>3</v>
      </c>
      <c r="G3300" s="567">
        <v>226</v>
      </c>
      <c r="H3300" s="567">
        <v>2130</v>
      </c>
      <c r="O3300"/>
    </row>
    <row r="3301" spans="1:15" x14ac:dyDescent="0.2">
      <c r="A3301" s="567">
        <v>1202</v>
      </c>
      <c r="B3301" s="568" t="s">
        <v>1447</v>
      </c>
      <c r="C3301" s="568" t="s">
        <v>1449</v>
      </c>
      <c r="D3301" s="567">
        <v>3202</v>
      </c>
      <c r="E3301" s="567">
        <v>98</v>
      </c>
      <c r="F3301" s="567">
        <v>3</v>
      </c>
      <c r="G3301" s="567">
        <v>226</v>
      </c>
      <c r="H3301" s="567">
        <v>2130</v>
      </c>
      <c r="O3301"/>
    </row>
    <row r="3302" spans="1:15" x14ac:dyDescent="0.2">
      <c r="A3302" s="567">
        <v>1506</v>
      </c>
      <c r="B3302" s="568" t="s">
        <v>1653</v>
      </c>
      <c r="C3302" s="568" t="s">
        <v>464</v>
      </c>
      <c r="D3302" s="567">
        <v>4131</v>
      </c>
      <c r="E3302" s="567">
        <v>79</v>
      </c>
      <c r="F3302" s="567">
        <v>7</v>
      </c>
      <c r="G3302" s="567">
        <v>235</v>
      </c>
      <c r="H3302" s="567">
        <v>2160</v>
      </c>
      <c r="O3302"/>
    </row>
    <row r="3303" spans="1:15" x14ac:dyDescent="0.2">
      <c r="A3303" s="567">
        <v>1507</v>
      </c>
      <c r="B3303" s="568" t="s">
        <v>1653</v>
      </c>
      <c r="C3303" s="568" t="s">
        <v>1670</v>
      </c>
      <c r="D3303" s="567">
        <v>4132</v>
      </c>
      <c r="E3303" s="567">
        <v>79</v>
      </c>
      <c r="F3303" s="567">
        <v>7</v>
      </c>
      <c r="G3303" s="567">
        <v>235</v>
      </c>
      <c r="H3303" s="567">
        <v>2160</v>
      </c>
      <c r="O3303"/>
    </row>
    <row r="3304" spans="1:15" x14ac:dyDescent="0.2">
      <c r="A3304" s="567">
        <v>1505</v>
      </c>
      <c r="B3304" s="568" t="s">
        <v>1653</v>
      </c>
      <c r="C3304" s="568" t="s">
        <v>1677</v>
      </c>
      <c r="D3304" s="567">
        <v>4130</v>
      </c>
      <c r="E3304" s="567">
        <v>79</v>
      </c>
      <c r="F3304" s="567">
        <v>7</v>
      </c>
      <c r="G3304" s="567">
        <v>235</v>
      </c>
      <c r="H3304" s="567">
        <v>2160</v>
      </c>
      <c r="O3304"/>
    </row>
    <row r="3305" spans="1:15" x14ac:dyDescent="0.2">
      <c r="A3305" s="567">
        <v>1541</v>
      </c>
      <c r="B3305" s="568" t="s">
        <v>1694</v>
      </c>
      <c r="C3305" s="568" t="s">
        <v>1694</v>
      </c>
      <c r="D3305" s="567">
        <v>4240</v>
      </c>
      <c r="E3305" s="567">
        <v>80</v>
      </c>
      <c r="F3305" s="567">
        <v>17</v>
      </c>
      <c r="G3305" s="567">
        <v>235</v>
      </c>
      <c r="H3305" s="567">
        <v>2160</v>
      </c>
      <c r="O3305"/>
    </row>
    <row r="3306" spans="1:15" x14ac:dyDescent="0.2">
      <c r="A3306" s="567">
        <v>1542</v>
      </c>
      <c r="B3306" s="568" t="s">
        <v>1694</v>
      </c>
      <c r="C3306" s="568" t="s">
        <v>1695</v>
      </c>
      <c r="D3306" s="567">
        <v>4241</v>
      </c>
      <c r="E3306" s="567">
        <v>80</v>
      </c>
      <c r="F3306" s="567">
        <v>17</v>
      </c>
      <c r="G3306" s="567">
        <v>235</v>
      </c>
      <c r="H3306" s="567">
        <v>2160</v>
      </c>
      <c r="O3306"/>
    </row>
    <row r="3307" spans="1:15" x14ac:dyDescent="0.2">
      <c r="A3307" s="567">
        <v>1543</v>
      </c>
      <c r="B3307" s="568" t="s">
        <v>1694</v>
      </c>
      <c r="C3307" s="568" t="s">
        <v>1696</v>
      </c>
      <c r="D3307" s="567">
        <v>4242</v>
      </c>
      <c r="E3307" s="567">
        <v>80</v>
      </c>
      <c r="F3307" s="567">
        <v>17</v>
      </c>
      <c r="G3307" s="567">
        <v>235</v>
      </c>
      <c r="H3307" s="567">
        <v>2160</v>
      </c>
      <c r="O3307"/>
    </row>
    <row r="3308" spans="1:15" x14ac:dyDescent="0.2">
      <c r="A3308" s="567">
        <v>1544</v>
      </c>
      <c r="B3308" s="568" t="s">
        <v>1694</v>
      </c>
      <c r="C3308" s="568" t="s">
        <v>1697</v>
      </c>
      <c r="D3308" s="567">
        <v>4243</v>
      </c>
      <c r="E3308" s="567">
        <v>80</v>
      </c>
      <c r="F3308" s="567">
        <v>17</v>
      </c>
      <c r="G3308" s="567">
        <v>235</v>
      </c>
      <c r="H3308" s="567">
        <v>2160</v>
      </c>
      <c r="O3308"/>
    </row>
    <row r="3309" spans="1:15" x14ac:dyDescent="0.2">
      <c r="A3309" s="567">
        <v>1545</v>
      </c>
      <c r="B3309" s="568" t="s">
        <v>1694</v>
      </c>
      <c r="C3309" s="568" t="s">
        <v>1698</v>
      </c>
      <c r="D3309" s="567">
        <v>4244</v>
      </c>
      <c r="E3309" s="567">
        <v>80</v>
      </c>
      <c r="F3309" s="567">
        <v>17</v>
      </c>
      <c r="G3309" s="567">
        <v>235</v>
      </c>
      <c r="H3309" s="567">
        <v>2160</v>
      </c>
      <c r="O3309"/>
    </row>
    <row r="3310" spans="1:15" x14ac:dyDescent="0.2">
      <c r="A3310" s="567">
        <v>3292</v>
      </c>
      <c r="B3310" s="568" t="s">
        <v>2786</v>
      </c>
      <c r="C3310" s="568" t="s">
        <v>2785</v>
      </c>
      <c r="D3310" s="567">
        <v>9594</v>
      </c>
      <c r="E3310" s="567">
        <v>83</v>
      </c>
      <c r="F3310" s="567">
        <v>11</v>
      </c>
      <c r="G3310" s="567">
        <v>436</v>
      </c>
      <c r="H3310" s="567">
        <v>4120</v>
      </c>
      <c r="O3310"/>
    </row>
    <row r="3311" spans="1:15" x14ac:dyDescent="0.2">
      <c r="A3311" s="567">
        <v>3288</v>
      </c>
      <c r="B3311" s="568" t="s">
        <v>2786</v>
      </c>
      <c r="C3311" s="568" t="s">
        <v>2786</v>
      </c>
      <c r="D3311" s="567">
        <v>9590</v>
      </c>
      <c r="E3311" s="567">
        <v>83</v>
      </c>
      <c r="F3311" s="567">
        <v>11</v>
      </c>
      <c r="G3311" s="567">
        <v>436</v>
      </c>
      <c r="H3311" s="567">
        <v>4120</v>
      </c>
      <c r="O3311"/>
    </row>
    <row r="3312" spans="1:15" x14ac:dyDescent="0.2">
      <c r="A3312" s="567">
        <v>3289</v>
      </c>
      <c r="B3312" s="568" t="s">
        <v>2786</v>
      </c>
      <c r="C3312" s="568" t="s">
        <v>2789</v>
      </c>
      <c r="D3312" s="567">
        <v>9591</v>
      </c>
      <c r="E3312" s="567">
        <v>83</v>
      </c>
      <c r="F3312" s="567">
        <v>11</v>
      </c>
      <c r="G3312" s="567">
        <v>436</v>
      </c>
      <c r="H3312" s="567">
        <v>4120</v>
      </c>
      <c r="O3312"/>
    </row>
    <row r="3313" spans="1:15" x14ac:dyDescent="0.2">
      <c r="A3313" s="567">
        <v>3291</v>
      </c>
      <c r="B3313" s="568" t="s">
        <v>2786</v>
      </c>
      <c r="C3313" s="568" t="s">
        <v>2792</v>
      </c>
      <c r="D3313" s="567">
        <v>9593</v>
      </c>
      <c r="E3313" s="567">
        <v>83</v>
      </c>
      <c r="F3313" s="567">
        <v>11</v>
      </c>
      <c r="G3313" s="567">
        <v>436</v>
      </c>
      <c r="H3313" s="567">
        <v>4120</v>
      </c>
      <c r="O3313"/>
    </row>
    <row r="3314" spans="1:15" x14ac:dyDescent="0.2">
      <c r="A3314" s="567">
        <v>3290</v>
      </c>
      <c r="B3314" s="568" t="s">
        <v>2786</v>
      </c>
      <c r="C3314" s="568" t="s">
        <v>2795</v>
      </c>
      <c r="D3314" s="567">
        <v>9592</v>
      </c>
      <c r="E3314" s="567">
        <v>83</v>
      </c>
      <c r="F3314" s="567">
        <v>11</v>
      </c>
      <c r="G3314" s="567">
        <v>436</v>
      </c>
      <c r="H3314" s="567">
        <v>4120</v>
      </c>
      <c r="O3314"/>
    </row>
    <row r="3315" spans="1:15" x14ac:dyDescent="0.2">
      <c r="A3315" s="567">
        <v>1152</v>
      </c>
      <c r="B3315" s="568" t="s">
        <v>1364</v>
      </c>
      <c r="C3315" s="568" t="s">
        <v>1364</v>
      </c>
      <c r="D3315" s="567">
        <v>3010</v>
      </c>
      <c r="E3315" s="567">
        <v>99</v>
      </c>
      <c r="F3315" s="567">
        <v>19</v>
      </c>
      <c r="G3315" s="567">
        <v>226</v>
      </c>
      <c r="H3315" s="567">
        <v>2130</v>
      </c>
      <c r="O3315"/>
    </row>
    <row r="3316" spans="1:15" x14ac:dyDescent="0.2">
      <c r="A3316" s="567">
        <v>1700</v>
      </c>
      <c r="B3316" s="568" t="s">
        <v>2250</v>
      </c>
      <c r="C3316" s="568" t="s">
        <v>2250</v>
      </c>
      <c r="D3316" s="567">
        <v>4670</v>
      </c>
      <c r="E3316" s="567">
        <v>141</v>
      </c>
      <c r="F3316" s="567">
        <v>3</v>
      </c>
      <c r="G3316" s="567">
        <v>317</v>
      </c>
      <c r="H3316" s="567">
        <v>3140</v>
      </c>
      <c r="O3316"/>
    </row>
    <row r="3317" spans="1:15" x14ac:dyDescent="0.2">
      <c r="A3317" s="567">
        <v>1702</v>
      </c>
      <c r="B3317" s="568" t="s">
        <v>2250</v>
      </c>
      <c r="C3317" s="568" t="s">
        <v>2253</v>
      </c>
      <c r="D3317" s="567">
        <v>4672</v>
      </c>
      <c r="E3317" s="567">
        <v>141</v>
      </c>
      <c r="F3317" s="567">
        <v>3</v>
      </c>
      <c r="G3317" s="567">
        <v>317</v>
      </c>
      <c r="H3317" s="567">
        <v>3140</v>
      </c>
      <c r="O3317"/>
    </row>
    <row r="3318" spans="1:15" x14ac:dyDescent="0.2">
      <c r="A3318" s="567">
        <v>1703</v>
      </c>
      <c r="B3318" s="568" t="s">
        <v>2250</v>
      </c>
      <c r="C3318" s="568" t="s">
        <v>2254</v>
      </c>
      <c r="D3318" s="567">
        <v>4673</v>
      </c>
      <c r="E3318" s="567">
        <v>141</v>
      </c>
      <c r="F3318" s="567">
        <v>3</v>
      </c>
      <c r="G3318" s="567">
        <v>317</v>
      </c>
      <c r="H3318" s="567">
        <v>3140</v>
      </c>
      <c r="O3318"/>
    </row>
    <row r="3319" spans="1:15" x14ac:dyDescent="0.2">
      <c r="A3319" s="567">
        <v>1704</v>
      </c>
      <c r="B3319" s="568" t="s">
        <v>2250</v>
      </c>
      <c r="C3319" s="568" t="s">
        <v>2255</v>
      </c>
      <c r="D3319" s="567">
        <v>4674</v>
      </c>
      <c r="E3319" s="567">
        <v>141</v>
      </c>
      <c r="F3319" s="567">
        <v>3</v>
      </c>
      <c r="G3319" s="567">
        <v>317</v>
      </c>
      <c r="H3319" s="567">
        <v>3140</v>
      </c>
      <c r="O3319"/>
    </row>
    <row r="3320" spans="1:15" x14ac:dyDescent="0.2">
      <c r="A3320" s="567">
        <v>1701</v>
      </c>
      <c r="B3320" s="568" t="s">
        <v>2250</v>
      </c>
      <c r="C3320" s="568" t="s">
        <v>2257</v>
      </c>
      <c r="D3320" s="567">
        <v>4671</v>
      </c>
      <c r="E3320" s="567">
        <v>141</v>
      </c>
      <c r="F3320" s="567">
        <v>3</v>
      </c>
      <c r="G3320" s="567">
        <v>317</v>
      </c>
      <c r="H3320" s="567">
        <v>3140</v>
      </c>
      <c r="O3320"/>
    </row>
    <row r="3321" spans="1:15" x14ac:dyDescent="0.2">
      <c r="A3321" s="567">
        <v>1450</v>
      </c>
      <c r="B3321" s="568" t="s">
        <v>1576</v>
      </c>
      <c r="C3321" s="568" t="s">
        <v>1576</v>
      </c>
      <c r="D3321" s="567">
        <v>3980</v>
      </c>
      <c r="E3321" s="567">
        <v>67</v>
      </c>
      <c r="F3321" s="567">
        <v>17</v>
      </c>
      <c r="G3321" s="567">
        <v>236</v>
      </c>
      <c r="H3321" s="567">
        <v>2150</v>
      </c>
      <c r="O3321"/>
    </row>
    <row r="3322" spans="1:15" x14ac:dyDescent="0.2">
      <c r="A3322" s="567">
        <v>1860</v>
      </c>
      <c r="B3322" s="568" t="s">
        <v>1809</v>
      </c>
      <c r="C3322" s="568" t="s">
        <v>1808</v>
      </c>
      <c r="D3322" s="567">
        <v>5191</v>
      </c>
      <c r="E3322" s="567">
        <v>55</v>
      </c>
      <c r="F3322" s="567">
        <v>5</v>
      </c>
      <c r="G3322" s="567">
        <v>316</v>
      </c>
      <c r="H3322" s="567">
        <v>3110</v>
      </c>
      <c r="O3322"/>
    </row>
    <row r="3323" spans="1:15" x14ac:dyDescent="0.2">
      <c r="A3323" s="567">
        <v>1859</v>
      </c>
      <c r="B3323" s="568" t="s">
        <v>1809</v>
      </c>
      <c r="C3323" s="568" t="s">
        <v>1810</v>
      </c>
      <c r="D3323" s="567">
        <v>5190</v>
      </c>
      <c r="E3323" s="567">
        <v>55</v>
      </c>
      <c r="F3323" s="567">
        <v>5</v>
      </c>
      <c r="G3323" s="567">
        <v>316</v>
      </c>
      <c r="H3323" s="567">
        <v>3110</v>
      </c>
      <c r="O3323"/>
    </row>
    <row r="3324" spans="1:15" x14ac:dyDescent="0.2">
      <c r="A3324" s="567">
        <v>606</v>
      </c>
      <c r="B3324" s="568" t="s">
        <v>182</v>
      </c>
      <c r="C3324" s="568" t="s">
        <v>181</v>
      </c>
      <c r="D3324" s="567">
        <v>1327</v>
      </c>
      <c r="E3324" s="567">
        <v>85</v>
      </c>
      <c r="F3324" s="567">
        <v>2</v>
      </c>
      <c r="G3324" s="567">
        <v>119</v>
      </c>
      <c r="H3324" s="567">
        <v>1110</v>
      </c>
      <c r="O3324"/>
    </row>
    <row r="3325" spans="1:15" x14ac:dyDescent="0.2">
      <c r="A3325" s="567">
        <v>603</v>
      </c>
      <c r="B3325" s="568" t="s">
        <v>182</v>
      </c>
      <c r="C3325" s="568" t="s">
        <v>210</v>
      </c>
      <c r="D3325" s="567">
        <v>1324</v>
      </c>
      <c r="E3325" s="567">
        <v>85</v>
      </c>
      <c r="F3325" s="567">
        <v>2</v>
      </c>
      <c r="G3325" s="567">
        <v>119</v>
      </c>
      <c r="H3325" s="567">
        <v>1110</v>
      </c>
      <c r="O3325"/>
    </row>
    <row r="3326" spans="1:15" x14ac:dyDescent="0.2">
      <c r="A3326" s="567">
        <v>605</v>
      </c>
      <c r="B3326" s="568" t="s">
        <v>182</v>
      </c>
      <c r="C3326" s="568" t="s">
        <v>225</v>
      </c>
      <c r="D3326" s="567">
        <v>1326</v>
      </c>
      <c r="E3326" s="567">
        <v>85</v>
      </c>
      <c r="F3326" s="567">
        <v>2</v>
      </c>
      <c r="G3326" s="567">
        <v>119</v>
      </c>
      <c r="H3326" s="567">
        <v>1110</v>
      </c>
      <c r="O3326"/>
    </row>
    <row r="3327" spans="1:15" x14ac:dyDescent="0.2">
      <c r="A3327" s="567">
        <v>602</v>
      </c>
      <c r="B3327" s="568" t="s">
        <v>182</v>
      </c>
      <c r="C3327" s="568" t="s">
        <v>243</v>
      </c>
      <c r="D3327" s="567">
        <v>1323</v>
      </c>
      <c r="E3327" s="567">
        <v>85</v>
      </c>
      <c r="F3327" s="567">
        <v>2</v>
      </c>
      <c r="G3327" s="567">
        <v>119</v>
      </c>
      <c r="H3327" s="567">
        <v>1110</v>
      </c>
      <c r="O3327"/>
    </row>
    <row r="3328" spans="1:15" x14ac:dyDescent="0.2">
      <c r="A3328" s="567">
        <v>601</v>
      </c>
      <c r="B3328" s="568" t="s">
        <v>182</v>
      </c>
      <c r="C3328" s="568" t="s">
        <v>244</v>
      </c>
      <c r="D3328" s="567">
        <v>1322</v>
      </c>
      <c r="E3328" s="567">
        <v>85</v>
      </c>
      <c r="F3328" s="567">
        <v>2</v>
      </c>
      <c r="G3328" s="567">
        <v>119</v>
      </c>
      <c r="H3328" s="567">
        <v>1110</v>
      </c>
      <c r="O3328"/>
    </row>
    <row r="3329" spans="1:15" x14ac:dyDescent="0.2">
      <c r="A3329" s="567">
        <v>600</v>
      </c>
      <c r="B3329" s="568" t="s">
        <v>182</v>
      </c>
      <c r="C3329" s="568" t="s">
        <v>245</v>
      </c>
      <c r="D3329" s="567">
        <v>1321</v>
      </c>
      <c r="E3329" s="567">
        <v>85</v>
      </c>
      <c r="F3329" s="567">
        <v>2</v>
      </c>
      <c r="G3329" s="567">
        <v>119</v>
      </c>
      <c r="H3329" s="567">
        <v>1110</v>
      </c>
      <c r="O3329"/>
    </row>
    <row r="3330" spans="1:15" x14ac:dyDescent="0.2">
      <c r="A3330" s="567">
        <v>599</v>
      </c>
      <c r="B3330" s="568" t="s">
        <v>182</v>
      </c>
      <c r="C3330" s="568" t="s">
        <v>182</v>
      </c>
      <c r="D3330" s="567">
        <v>1320</v>
      </c>
      <c r="E3330" s="567">
        <v>85</v>
      </c>
      <c r="F3330" s="567">
        <v>2</v>
      </c>
      <c r="G3330" s="567">
        <v>119</v>
      </c>
      <c r="H3330" s="567">
        <v>1110</v>
      </c>
      <c r="O3330"/>
    </row>
    <row r="3331" spans="1:15" x14ac:dyDescent="0.2">
      <c r="A3331" s="567">
        <v>604</v>
      </c>
      <c r="B3331" s="568" t="s">
        <v>182</v>
      </c>
      <c r="C3331" s="568" t="s">
        <v>265</v>
      </c>
      <c r="D3331" s="567">
        <v>1325</v>
      </c>
      <c r="E3331" s="567">
        <v>85</v>
      </c>
      <c r="F3331" s="567">
        <v>2</v>
      </c>
      <c r="G3331" s="567">
        <v>119</v>
      </c>
      <c r="H3331" s="567">
        <v>1110</v>
      </c>
      <c r="O3331"/>
    </row>
    <row r="3332" spans="1:15" x14ac:dyDescent="0.2">
      <c r="A3332" s="567">
        <v>639</v>
      </c>
      <c r="B3332" s="568" t="s">
        <v>202</v>
      </c>
      <c r="C3332" s="568" t="s">
        <v>202</v>
      </c>
      <c r="D3332" s="567">
        <v>1410</v>
      </c>
      <c r="E3332" s="567">
        <v>86</v>
      </c>
      <c r="F3332" s="567">
        <v>2</v>
      </c>
      <c r="G3332" s="567">
        <v>119</v>
      </c>
      <c r="H3332" s="567">
        <v>1110</v>
      </c>
      <c r="O3332"/>
    </row>
    <row r="3333" spans="1:15" x14ac:dyDescent="0.2">
      <c r="A3333" s="567">
        <v>2818</v>
      </c>
      <c r="B3333" s="568" t="s">
        <v>2632</v>
      </c>
      <c r="C3333" s="568" t="s">
        <v>2632</v>
      </c>
      <c r="D3333" s="567">
        <v>8090</v>
      </c>
      <c r="E3333" s="567">
        <v>75</v>
      </c>
      <c r="F3333" s="567">
        <v>14</v>
      </c>
      <c r="G3333" s="567">
        <v>417</v>
      </c>
      <c r="H3333" s="567">
        <v>4100</v>
      </c>
      <c r="O3333"/>
    </row>
    <row r="3334" spans="1:15" x14ac:dyDescent="0.2">
      <c r="A3334" s="567">
        <v>2819</v>
      </c>
      <c r="B3334" s="568" t="s">
        <v>2632</v>
      </c>
      <c r="C3334" s="568" t="s">
        <v>2633</v>
      </c>
      <c r="D3334" s="567">
        <v>8091</v>
      </c>
      <c r="E3334" s="567">
        <v>75</v>
      </c>
      <c r="F3334" s="567">
        <v>14</v>
      </c>
      <c r="G3334" s="567">
        <v>417</v>
      </c>
      <c r="H3334" s="567">
        <v>4100</v>
      </c>
      <c r="O3334"/>
    </row>
    <row r="3335" spans="1:15" x14ac:dyDescent="0.2">
      <c r="A3335" s="567">
        <v>2820</v>
      </c>
      <c r="B3335" s="568" t="s">
        <v>2632</v>
      </c>
      <c r="C3335" s="568" t="s">
        <v>335</v>
      </c>
      <c r="D3335" s="567">
        <v>8092</v>
      </c>
      <c r="E3335" s="567">
        <v>75</v>
      </c>
      <c r="F3335" s="567">
        <v>14</v>
      </c>
      <c r="G3335" s="567">
        <v>417</v>
      </c>
      <c r="H3335" s="567">
        <v>4100</v>
      </c>
      <c r="O3335"/>
    </row>
    <row r="3336" spans="1:15" x14ac:dyDescent="0.2">
      <c r="A3336" s="567">
        <v>55</v>
      </c>
      <c r="B3336" s="568" t="s">
        <v>349</v>
      </c>
      <c r="C3336" s="568" t="s">
        <v>348</v>
      </c>
      <c r="D3336" s="567">
        <v>85</v>
      </c>
      <c r="E3336" s="567">
        <v>137</v>
      </c>
      <c r="F3336" s="567">
        <v>21</v>
      </c>
      <c r="G3336" s="567">
        <v>128</v>
      </c>
      <c r="H3336" s="567">
        <v>1121</v>
      </c>
      <c r="O3336"/>
    </row>
    <row r="3337" spans="1:15" x14ac:dyDescent="0.2">
      <c r="A3337" s="567">
        <v>56</v>
      </c>
      <c r="B3337" s="568" t="s">
        <v>349</v>
      </c>
      <c r="C3337" s="568" t="s">
        <v>350</v>
      </c>
      <c r="D3337" s="567">
        <v>86</v>
      </c>
      <c r="E3337" s="567">
        <v>137</v>
      </c>
      <c r="F3337" s="567">
        <v>21</v>
      </c>
      <c r="G3337" s="567">
        <v>128</v>
      </c>
      <c r="H3337" s="567">
        <v>1121</v>
      </c>
      <c r="O3337"/>
    </row>
    <row r="3338" spans="1:15" x14ac:dyDescent="0.2">
      <c r="A3338" s="567">
        <v>57</v>
      </c>
      <c r="B3338" s="568" t="s">
        <v>349</v>
      </c>
      <c r="C3338" s="568" t="s">
        <v>351</v>
      </c>
      <c r="D3338" s="567">
        <v>87</v>
      </c>
      <c r="E3338" s="567">
        <v>137</v>
      </c>
      <c r="F3338" s="567">
        <v>21</v>
      </c>
      <c r="G3338" s="567">
        <v>128</v>
      </c>
      <c r="H3338" s="567">
        <v>1121</v>
      </c>
      <c r="O3338"/>
    </row>
    <row r="3339" spans="1:15" x14ac:dyDescent="0.2">
      <c r="A3339" s="567">
        <v>58</v>
      </c>
      <c r="B3339" s="568" t="s">
        <v>349</v>
      </c>
      <c r="C3339" s="568" t="s">
        <v>352</v>
      </c>
      <c r="D3339" s="567">
        <v>88</v>
      </c>
      <c r="E3339" s="567">
        <v>137</v>
      </c>
      <c r="F3339" s="567">
        <v>21</v>
      </c>
      <c r="G3339" s="567">
        <v>128</v>
      </c>
      <c r="H3339" s="567">
        <v>1121</v>
      </c>
      <c r="O3339"/>
    </row>
    <row r="3340" spans="1:15" x14ac:dyDescent="0.2">
      <c r="A3340" s="567">
        <v>2549</v>
      </c>
      <c r="B3340" s="568" t="s">
        <v>2019</v>
      </c>
      <c r="C3340" s="568" t="s">
        <v>2019</v>
      </c>
      <c r="D3340" s="567">
        <v>7310</v>
      </c>
      <c r="E3340" s="567">
        <v>100</v>
      </c>
      <c r="F3340" s="567">
        <v>3</v>
      </c>
      <c r="G3340" s="567">
        <v>336</v>
      </c>
      <c r="H3340" s="567">
        <v>3130</v>
      </c>
      <c r="O3340"/>
    </row>
    <row r="3341" spans="1:15" x14ac:dyDescent="0.2">
      <c r="A3341" s="567">
        <v>1915</v>
      </c>
      <c r="B3341" s="568" t="s">
        <v>1912</v>
      </c>
      <c r="C3341" s="568" t="s">
        <v>1912</v>
      </c>
      <c r="D3341" s="567">
        <v>5405</v>
      </c>
      <c r="E3341" s="567">
        <v>125</v>
      </c>
      <c r="F3341" s="567">
        <v>3</v>
      </c>
      <c r="G3341" s="567">
        <v>315</v>
      </c>
      <c r="H3341" s="567">
        <v>3120</v>
      </c>
      <c r="O3341"/>
    </row>
    <row r="3342" spans="1:15" x14ac:dyDescent="0.2">
      <c r="A3342" s="567">
        <v>1810</v>
      </c>
      <c r="B3342" s="568" t="s">
        <v>2168</v>
      </c>
      <c r="C3342" s="568" t="s">
        <v>2168</v>
      </c>
      <c r="D3342" s="567">
        <v>5000</v>
      </c>
      <c r="E3342" s="567">
        <v>145</v>
      </c>
      <c r="F3342" s="567">
        <v>6</v>
      </c>
      <c r="G3342" s="567">
        <v>317</v>
      </c>
      <c r="H3342" s="567">
        <v>3140</v>
      </c>
      <c r="O3342"/>
    </row>
    <row r="3343" spans="1:15" x14ac:dyDescent="0.2">
      <c r="A3343" s="567">
        <v>1811</v>
      </c>
      <c r="B3343" s="568" t="s">
        <v>2168</v>
      </c>
      <c r="C3343" s="568" t="s">
        <v>2169</v>
      </c>
      <c r="D3343" s="567">
        <v>5001</v>
      </c>
      <c r="E3343" s="567">
        <v>145</v>
      </c>
      <c r="F3343" s="567">
        <v>6</v>
      </c>
      <c r="G3343" s="567">
        <v>317</v>
      </c>
      <c r="H3343" s="567">
        <v>3140</v>
      </c>
      <c r="O3343"/>
    </row>
    <row r="3344" spans="1:15" x14ac:dyDescent="0.2">
      <c r="A3344" s="567">
        <v>1812</v>
      </c>
      <c r="B3344" s="568" t="s">
        <v>2168</v>
      </c>
      <c r="C3344" s="568" t="s">
        <v>2170</v>
      </c>
      <c r="D3344" s="567">
        <v>5002</v>
      </c>
      <c r="E3344" s="567">
        <v>145</v>
      </c>
      <c r="F3344" s="567">
        <v>6</v>
      </c>
      <c r="G3344" s="567">
        <v>317</v>
      </c>
      <c r="H3344" s="567">
        <v>3140</v>
      </c>
      <c r="O3344"/>
    </row>
    <row r="3345" spans="1:15" x14ac:dyDescent="0.2">
      <c r="A3345" s="567">
        <v>3275</v>
      </c>
      <c r="B3345" s="568" t="s">
        <v>2807</v>
      </c>
      <c r="C3345" s="568" t="s">
        <v>2807</v>
      </c>
      <c r="D3345" s="567">
        <v>9500</v>
      </c>
      <c r="E3345" s="567">
        <v>85</v>
      </c>
      <c r="F3345" s="567">
        <v>10</v>
      </c>
      <c r="G3345" s="567">
        <v>436</v>
      </c>
      <c r="H3345" s="567">
        <v>4120</v>
      </c>
      <c r="O3345"/>
    </row>
    <row r="3346" spans="1:15" x14ac:dyDescent="0.2">
      <c r="A3346" s="567">
        <v>777</v>
      </c>
      <c r="B3346" s="568" t="s">
        <v>828</v>
      </c>
      <c r="C3346" s="568" t="s">
        <v>828</v>
      </c>
      <c r="D3346" s="567">
        <v>1860</v>
      </c>
      <c r="E3346" s="567">
        <v>73</v>
      </c>
      <c r="F3346" s="567">
        <v>2</v>
      </c>
      <c r="G3346" s="567">
        <v>116</v>
      </c>
      <c r="H3346" s="567">
        <v>1180</v>
      </c>
      <c r="O3346"/>
    </row>
    <row r="3347" spans="1:15" x14ac:dyDescent="0.2">
      <c r="A3347" s="567">
        <v>281</v>
      </c>
      <c r="B3347" s="568" t="s">
        <v>1025</v>
      </c>
      <c r="C3347" s="568" t="s">
        <v>1025</v>
      </c>
      <c r="D3347" s="567">
        <v>460</v>
      </c>
      <c r="E3347" s="567">
        <v>99</v>
      </c>
      <c r="F3347" s="567">
        <v>20</v>
      </c>
      <c r="G3347" s="567">
        <v>127</v>
      </c>
      <c r="H3347" s="567">
        <v>1200</v>
      </c>
      <c r="O3347"/>
    </row>
    <row r="3348" spans="1:15" x14ac:dyDescent="0.2">
      <c r="A3348" s="567">
        <v>3277</v>
      </c>
      <c r="B3348" s="568" t="s">
        <v>2802</v>
      </c>
      <c r="C3348" s="568" t="s">
        <v>2802</v>
      </c>
      <c r="D3348" s="567">
        <v>9520</v>
      </c>
      <c r="E3348" s="567">
        <v>87</v>
      </c>
      <c r="F3348" s="567">
        <v>11</v>
      </c>
      <c r="G3348" s="567">
        <v>436</v>
      </c>
      <c r="H3348" s="567">
        <v>4120</v>
      </c>
      <c r="O3348"/>
    </row>
    <row r="3349" spans="1:15" x14ac:dyDescent="0.2">
      <c r="A3349" s="567">
        <v>1596</v>
      </c>
      <c r="B3349" s="568" t="s">
        <v>1236</v>
      </c>
      <c r="C3349" s="568" t="s">
        <v>1236</v>
      </c>
      <c r="D3349" s="567">
        <v>4390</v>
      </c>
      <c r="E3349" s="567">
        <v>72</v>
      </c>
      <c r="F3349" s="567">
        <v>7</v>
      </c>
      <c r="G3349" s="567">
        <v>237</v>
      </c>
      <c r="H3349" s="567">
        <v>2110</v>
      </c>
      <c r="O3349"/>
    </row>
    <row r="3350" spans="1:15" x14ac:dyDescent="0.2">
      <c r="A3350" s="567">
        <v>883</v>
      </c>
      <c r="B3350" s="568" t="s">
        <v>90</v>
      </c>
      <c r="C3350" s="568" t="s">
        <v>90</v>
      </c>
      <c r="D3350" s="567">
        <v>2245</v>
      </c>
      <c r="E3350" s="567">
        <v>84</v>
      </c>
      <c r="F3350" s="567">
        <v>19</v>
      </c>
      <c r="G3350" s="567">
        <v>136</v>
      </c>
      <c r="H3350" s="567">
        <v>1101</v>
      </c>
      <c r="O3350"/>
    </row>
    <row r="3351" spans="1:15" x14ac:dyDescent="0.2">
      <c r="A3351" s="567">
        <v>1448</v>
      </c>
      <c r="B3351" s="568" t="s">
        <v>1594</v>
      </c>
      <c r="C3351" s="568" t="s">
        <v>1594</v>
      </c>
      <c r="D3351" s="567">
        <v>3970</v>
      </c>
      <c r="E3351" s="567">
        <v>68</v>
      </c>
      <c r="F3351" s="567">
        <v>17</v>
      </c>
      <c r="G3351" s="567">
        <v>236</v>
      </c>
      <c r="H3351" s="567">
        <v>2150</v>
      </c>
      <c r="O3351"/>
    </row>
    <row r="3352" spans="1:15" x14ac:dyDescent="0.2">
      <c r="A3352" s="567">
        <v>2207</v>
      </c>
      <c r="B3352" s="568" t="s">
        <v>2434</v>
      </c>
      <c r="C3352" s="568" t="s">
        <v>2434</v>
      </c>
      <c r="D3352" s="567">
        <v>6390</v>
      </c>
      <c r="E3352" s="567">
        <v>54</v>
      </c>
      <c r="F3352" s="567">
        <v>16</v>
      </c>
      <c r="G3352" s="567">
        <v>327</v>
      </c>
      <c r="H3352" s="567">
        <v>3170</v>
      </c>
      <c r="O3352"/>
    </row>
    <row r="3353" spans="1:15" x14ac:dyDescent="0.2">
      <c r="A3353" s="567">
        <v>435</v>
      </c>
      <c r="B3353" s="568" t="s">
        <v>595</v>
      </c>
      <c r="C3353" s="568" t="s">
        <v>595</v>
      </c>
      <c r="D3353" s="567">
        <v>820</v>
      </c>
      <c r="E3353" s="567">
        <v>107</v>
      </c>
      <c r="F3353" s="567">
        <v>19</v>
      </c>
      <c r="G3353" s="567">
        <v>125</v>
      </c>
      <c r="H3353" s="567">
        <v>1150</v>
      </c>
      <c r="O3353"/>
    </row>
    <row r="3354" spans="1:15" x14ac:dyDescent="0.2">
      <c r="A3354" s="567">
        <v>436</v>
      </c>
      <c r="B3354" s="568" t="s">
        <v>595</v>
      </c>
      <c r="C3354" s="568" t="s">
        <v>596</v>
      </c>
      <c r="D3354" s="567">
        <v>821</v>
      </c>
      <c r="E3354" s="567">
        <v>107</v>
      </c>
      <c r="F3354" s="567">
        <v>19</v>
      </c>
      <c r="G3354" s="567">
        <v>125</v>
      </c>
      <c r="H3354" s="567">
        <v>1150</v>
      </c>
      <c r="O3354"/>
    </row>
    <row r="3355" spans="1:15" x14ac:dyDescent="0.2">
      <c r="A3355" s="567">
        <v>437</v>
      </c>
      <c r="B3355" s="568" t="s">
        <v>595</v>
      </c>
      <c r="C3355" s="568" t="s">
        <v>597</v>
      </c>
      <c r="D3355" s="567">
        <v>822</v>
      </c>
      <c r="E3355" s="567">
        <v>107</v>
      </c>
      <c r="F3355" s="567">
        <v>19</v>
      </c>
      <c r="G3355" s="567">
        <v>125</v>
      </c>
      <c r="H3355" s="567">
        <v>1150</v>
      </c>
      <c r="O3355"/>
    </row>
    <row r="3356" spans="1:15" x14ac:dyDescent="0.2">
      <c r="A3356" s="567">
        <v>438</v>
      </c>
      <c r="B3356" s="568" t="s">
        <v>595</v>
      </c>
      <c r="C3356" s="568" t="s">
        <v>598</v>
      </c>
      <c r="D3356" s="567">
        <v>823</v>
      </c>
      <c r="E3356" s="567">
        <v>107</v>
      </c>
      <c r="F3356" s="567">
        <v>19</v>
      </c>
      <c r="G3356" s="567">
        <v>125</v>
      </c>
      <c r="H3356" s="567">
        <v>1150</v>
      </c>
      <c r="O3356"/>
    </row>
    <row r="3357" spans="1:15" x14ac:dyDescent="0.2">
      <c r="A3357" s="567">
        <v>439</v>
      </c>
      <c r="B3357" s="568" t="s">
        <v>595</v>
      </c>
      <c r="C3357" s="568" t="s">
        <v>599</v>
      </c>
      <c r="D3357" s="567">
        <v>824</v>
      </c>
      <c r="E3357" s="567">
        <v>107</v>
      </c>
      <c r="F3357" s="567">
        <v>19</v>
      </c>
      <c r="G3357" s="567">
        <v>125</v>
      </c>
      <c r="H3357" s="567">
        <v>1150</v>
      </c>
      <c r="O3357"/>
    </row>
    <row r="3358" spans="1:15" x14ac:dyDescent="0.2">
      <c r="A3358" s="567">
        <v>2329</v>
      </c>
      <c r="B3358" s="568" t="s">
        <v>2555</v>
      </c>
      <c r="C3358" s="568" t="s">
        <v>2554</v>
      </c>
      <c r="D3358" s="567">
        <v>6720</v>
      </c>
      <c r="E3358" s="567">
        <v>127</v>
      </c>
      <c r="F3358" s="567">
        <v>8</v>
      </c>
      <c r="G3358" s="567">
        <v>337</v>
      </c>
      <c r="H3358" s="567">
        <v>3180</v>
      </c>
      <c r="O3358"/>
    </row>
    <row r="3359" spans="1:15" x14ac:dyDescent="0.2">
      <c r="A3359" s="567">
        <v>2330</v>
      </c>
      <c r="B3359" s="568" t="s">
        <v>2555</v>
      </c>
      <c r="C3359" s="568" t="s">
        <v>2556</v>
      </c>
      <c r="D3359" s="567">
        <v>6721</v>
      </c>
      <c r="E3359" s="567">
        <v>127</v>
      </c>
      <c r="F3359" s="567">
        <v>8</v>
      </c>
      <c r="G3359" s="567">
        <v>337</v>
      </c>
      <c r="H3359" s="567">
        <v>3180</v>
      </c>
      <c r="O3359"/>
    </row>
    <row r="3360" spans="1:15" x14ac:dyDescent="0.2">
      <c r="A3360" s="567">
        <v>2331</v>
      </c>
      <c r="B3360" s="568" t="s">
        <v>2555</v>
      </c>
      <c r="C3360" s="568" t="s">
        <v>806</v>
      </c>
      <c r="D3360" s="567">
        <v>6722</v>
      </c>
      <c r="E3360" s="567">
        <v>127</v>
      </c>
      <c r="F3360" s="567">
        <v>8</v>
      </c>
      <c r="G3360" s="567">
        <v>337</v>
      </c>
      <c r="H3360" s="567">
        <v>3180</v>
      </c>
      <c r="O3360"/>
    </row>
    <row r="3361" spans="1:15" x14ac:dyDescent="0.2">
      <c r="A3361" s="567">
        <v>2410</v>
      </c>
      <c r="B3361" s="568" t="s">
        <v>2482</v>
      </c>
      <c r="C3361" s="568" t="s">
        <v>2481</v>
      </c>
      <c r="D3361" s="567">
        <v>6923</v>
      </c>
      <c r="E3361" s="567">
        <v>123</v>
      </c>
      <c r="F3361" s="567">
        <v>3</v>
      </c>
      <c r="G3361" s="567">
        <v>337</v>
      </c>
      <c r="H3361" s="567">
        <v>3180</v>
      </c>
      <c r="O3361"/>
    </row>
    <row r="3362" spans="1:15" x14ac:dyDescent="0.2">
      <c r="A3362" s="567">
        <v>2407</v>
      </c>
      <c r="B3362" s="568" t="s">
        <v>2482</v>
      </c>
      <c r="C3362" s="568" t="s">
        <v>2482</v>
      </c>
      <c r="D3362" s="567">
        <v>6920</v>
      </c>
      <c r="E3362" s="567">
        <v>123</v>
      </c>
      <c r="F3362" s="567">
        <v>3</v>
      </c>
      <c r="G3362" s="567">
        <v>337</v>
      </c>
      <c r="H3362" s="567">
        <v>3180</v>
      </c>
      <c r="O3362"/>
    </row>
    <row r="3363" spans="1:15" x14ac:dyDescent="0.2">
      <c r="A3363" s="567">
        <v>2409</v>
      </c>
      <c r="B3363" s="568" t="s">
        <v>2482</v>
      </c>
      <c r="C3363" s="568" t="s">
        <v>2491</v>
      </c>
      <c r="D3363" s="567">
        <v>6922</v>
      </c>
      <c r="E3363" s="567">
        <v>123</v>
      </c>
      <c r="F3363" s="567">
        <v>3</v>
      </c>
      <c r="G3363" s="567">
        <v>337</v>
      </c>
      <c r="H3363" s="567">
        <v>3180</v>
      </c>
      <c r="O3363"/>
    </row>
    <row r="3364" spans="1:15" x14ac:dyDescent="0.2">
      <c r="A3364" s="567">
        <v>2411</v>
      </c>
      <c r="B3364" s="568" t="s">
        <v>2482</v>
      </c>
      <c r="C3364" s="568" t="s">
        <v>2493</v>
      </c>
      <c r="D3364" s="567">
        <v>6924</v>
      </c>
      <c r="E3364" s="567">
        <v>123</v>
      </c>
      <c r="F3364" s="567">
        <v>3</v>
      </c>
      <c r="G3364" s="567">
        <v>337</v>
      </c>
      <c r="H3364" s="567">
        <v>3180</v>
      </c>
      <c r="O3364"/>
    </row>
    <row r="3365" spans="1:15" x14ac:dyDescent="0.2">
      <c r="A3365" s="567">
        <v>2408</v>
      </c>
      <c r="B3365" s="568" t="s">
        <v>2482</v>
      </c>
      <c r="C3365" s="568" t="s">
        <v>2498</v>
      </c>
      <c r="D3365" s="567">
        <v>6921</v>
      </c>
      <c r="E3365" s="567">
        <v>123</v>
      </c>
      <c r="F3365" s="567">
        <v>3</v>
      </c>
      <c r="G3365" s="567">
        <v>337</v>
      </c>
      <c r="H3365" s="567">
        <v>3180</v>
      </c>
      <c r="O3365"/>
    </row>
    <row r="3366" spans="1:15" x14ac:dyDescent="0.2">
      <c r="A3366" s="567">
        <v>1831</v>
      </c>
      <c r="B3366" s="568" t="s">
        <v>1851</v>
      </c>
      <c r="C3366" s="568" t="s">
        <v>1851</v>
      </c>
      <c r="D3366" s="567">
        <v>5090</v>
      </c>
      <c r="E3366" s="567">
        <v>51</v>
      </c>
      <c r="F3366" s="567">
        <v>3</v>
      </c>
      <c r="G3366" s="567">
        <v>316</v>
      </c>
      <c r="H3366" s="567">
        <v>3110</v>
      </c>
      <c r="O3366"/>
    </row>
    <row r="3367" spans="1:15" x14ac:dyDescent="0.2">
      <c r="A3367" s="567">
        <v>468</v>
      </c>
      <c r="B3367" s="568" t="s">
        <v>524</v>
      </c>
      <c r="C3367" s="568" t="s">
        <v>524</v>
      </c>
      <c r="D3367" s="567">
        <v>900</v>
      </c>
      <c r="E3367" s="567">
        <v>108</v>
      </c>
      <c r="F3367" s="567">
        <v>2</v>
      </c>
      <c r="G3367" s="567">
        <v>125</v>
      </c>
      <c r="H3367" s="567">
        <v>1150</v>
      </c>
      <c r="O3367"/>
    </row>
    <row r="3368" spans="1:15" x14ac:dyDescent="0.2">
      <c r="A3368" s="567">
        <v>469</v>
      </c>
      <c r="B3368" s="568" t="s">
        <v>524</v>
      </c>
      <c r="C3368" s="568" t="s">
        <v>525</v>
      </c>
      <c r="D3368" s="567">
        <v>901</v>
      </c>
      <c r="E3368" s="567">
        <v>108</v>
      </c>
      <c r="F3368" s="567">
        <v>2</v>
      </c>
      <c r="G3368" s="567">
        <v>125</v>
      </c>
      <c r="H3368" s="567">
        <v>1150</v>
      </c>
      <c r="O3368"/>
    </row>
    <row r="3369" spans="1:15" x14ac:dyDescent="0.2">
      <c r="A3369" s="567">
        <v>471</v>
      </c>
      <c r="B3369" s="568" t="s">
        <v>524</v>
      </c>
      <c r="C3369" s="568" t="s">
        <v>529</v>
      </c>
      <c r="D3369" s="567">
        <v>903</v>
      </c>
      <c r="E3369" s="567">
        <v>108</v>
      </c>
      <c r="F3369" s="567">
        <v>2</v>
      </c>
      <c r="G3369" s="567">
        <v>125</v>
      </c>
      <c r="H3369" s="567">
        <v>1150</v>
      </c>
      <c r="O3369"/>
    </row>
    <row r="3370" spans="1:15" x14ac:dyDescent="0.2">
      <c r="A3370" s="567">
        <v>470</v>
      </c>
      <c r="B3370" s="568" t="s">
        <v>524</v>
      </c>
      <c r="C3370" s="568" t="s">
        <v>531</v>
      </c>
      <c r="D3370" s="567">
        <v>902</v>
      </c>
      <c r="E3370" s="567">
        <v>108</v>
      </c>
      <c r="F3370" s="567">
        <v>2</v>
      </c>
      <c r="G3370" s="567">
        <v>125</v>
      </c>
      <c r="H3370" s="567">
        <v>1150</v>
      </c>
      <c r="O3370"/>
    </row>
    <row r="3371" spans="1:15" x14ac:dyDescent="0.2">
      <c r="A3371" s="567">
        <v>1287</v>
      </c>
      <c r="B3371" s="568" t="s">
        <v>904</v>
      </c>
      <c r="C3371" s="568" t="s">
        <v>904</v>
      </c>
      <c r="D3371" s="567">
        <v>3475</v>
      </c>
      <c r="E3371" s="567">
        <v>94</v>
      </c>
      <c r="F3371" s="567">
        <v>2</v>
      </c>
      <c r="G3371" s="567">
        <v>215</v>
      </c>
      <c r="H3371" s="567">
        <v>2121</v>
      </c>
      <c r="O3371"/>
    </row>
    <row r="3372" spans="1:15" x14ac:dyDescent="0.2">
      <c r="A3372" s="567">
        <v>1749</v>
      </c>
      <c r="B3372" s="568" t="s">
        <v>2149</v>
      </c>
      <c r="C3372" s="568" t="s">
        <v>433</v>
      </c>
      <c r="D3372" s="567">
        <v>4790</v>
      </c>
      <c r="E3372" s="567">
        <v>146</v>
      </c>
      <c r="F3372" s="567">
        <v>5</v>
      </c>
      <c r="G3372" s="567">
        <v>317</v>
      </c>
      <c r="H3372" s="567">
        <v>3140</v>
      </c>
      <c r="O3372"/>
    </row>
    <row r="3373" spans="1:15" x14ac:dyDescent="0.2">
      <c r="A3373" s="567">
        <v>1750</v>
      </c>
      <c r="B3373" s="568" t="s">
        <v>2149</v>
      </c>
      <c r="C3373" s="568" t="s">
        <v>2150</v>
      </c>
      <c r="D3373" s="567">
        <v>4791</v>
      </c>
      <c r="E3373" s="567">
        <v>146</v>
      </c>
      <c r="F3373" s="567">
        <v>5</v>
      </c>
      <c r="G3373" s="567">
        <v>317</v>
      </c>
      <c r="H3373" s="567">
        <v>3140</v>
      </c>
      <c r="O3373"/>
    </row>
    <row r="3374" spans="1:15" x14ac:dyDescent="0.2">
      <c r="A3374" s="567">
        <v>1751</v>
      </c>
      <c r="B3374" s="568" t="s">
        <v>2149</v>
      </c>
      <c r="C3374" s="568" t="s">
        <v>2151</v>
      </c>
      <c r="D3374" s="567">
        <v>4792</v>
      </c>
      <c r="E3374" s="567">
        <v>146</v>
      </c>
      <c r="F3374" s="567">
        <v>5</v>
      </c>
      <c r="G3374" s="567">
        <v>317</v>
      </c>
      <c r="H3374" s="567">
        <v>3140</v>
      </c>
      <c r="O3374"/>
    </row>
    <row r="3375" spans="1:15" x14ac:dyDescent="0.2">
      <c r="A3375" s="567">
        <v>1752</v>
      </c>
      <c r="B3375" s="568" t="s">
        <v>2149</v>
      </c>
      <c r="C3375" s="568" t="s">
        <v>2152</v>
      </c>
      <c r="D3375" s="567">
        <v>4793</v>
      </c>
      <c r="E3375" s="567">
        <v>146</v>
      </c>
      <c r="F3375" s="567">
        <v>5</v>
      </c>
      <c r="G3375" s="567">
        <v>317</v>
      </c>
      <c r="H3375" s="567">
        <v>3140</v>
      </c>
      <c r="O3375"/>
    </row>
    <row r="3376" spans="1:15" x14ac:dyDescent="0.2">
      <c r="A3376" s="567">
        <v>2521</v>
      </c>
      <c r="B3376" s="568" t="s">
        <v>2093</v>
      </c>
      <c r="C3376" s="568" t="s">
        <v>2092</v>
      </c>
      <c r="D3376" s="567">
        <v>7236</v>
      </c>
      <c r="E3376" s="567">
        <v>103</v>
      </c>
      <c r="F3376" s="567">
        <v>5</v>
      </c>
      <c r="G3376" s="567">
        <v>336</v>
      </c>
      <c r="H3376" s="567">
        <v>3130</v>
      </c>
      <c r="O3376"/>
    </row>
    <row r="3377" spans="1:15" x14ac:dyDescent="0.2">
      <c r="A3377" s="567">
        <v>2520</v>
      </c>
      <c r="B3377" s="568" t="s">
        <v>2093</v>
      </c>
      <c r="C3377" s="568" t="s">
        <v>2094</v>
      </c>
      <c r="D3377" s="567">
        <v>7235</v>
      </c>
      <c r="E3377" s="567">
        <v>103</v>
      </c>
      <c r="F3377" s="567">
        <v>5</v>
      </c>
      <c r="G3377" s="567">
        <v>336</v>
      </c>
      <c r="H3377" s="567">
        <v>3130</v>
      </c>
      <c r="O3377"/>
    </row>
    <row r="3378" spans="1:15" x14ac:dyDescent="0.2">
      <c r="A3378" s="567">
        <v>2519</v>
      </c>
      <c r="B3378" s="568" t="s">
        <v>2093</v>
      </c>
      <c r="C3378" s="568" t="s">
        <v>2095</v>
      </c>
      <c r="D3378" s="567">
        <v>7234</v>
      </c>
      <c r="E3378" s="567">
        <v>103</v>
      </c>
      <c r="F3378" s="567">
        <v>5</v>
      </c>
      <c r="G3378" s="567">
        <v>336</v>
      </c>
      <c r="H3378" s="567">
        <v>3130</v>
      </c>
      <c r="O3378"/>
    </row>
    <row r="3379" spans="1:15" x14ac:dyDescent="0.2">
      <c r="A3379" s="567">
        <v>2518</v>
      </c>
      <c r="B3379" s="568" t="s">
        <v>2093</v>
      </c>
      <c r="C3379" s="568" t="s">
        <v>2096</v>
      </c>
      <c r="D3379" s="567">
        <v>7233</v>
      </c>
      <c r="E3379" s="567">
        <v>103</v>
      </c>
      <c r="F3379" s="567">
        <v>5</v>
      </c>
      <c r="G3379" s="567">
        <v>336</v>
      </c>
      <c r="H3379" s="567">
        <v>3130</v>
      </c>
      <c r="O3379"/>
    </row>
    <row r="3380" spans="1:15" x14ac:dyDescent="0.2">
      <c r="A3380" s="567">
        <v>2517</v>
      </c>
      <c r="B3380" s="568" t="s">
        <v>2093</v>
      </c>
      <c r="C3380" s="568" t="s">
        <v>2097</v>
      </c>
      <c r="D3380" s="567">
        <v>7232</v>
      </c>
      <c r="E3380" s="567">
        <v>103</v>
      </c>
      <c r="F3380" s="567">
        <v>5</v>
      </c>
      <c r="G3380" s="567">
        <v>336</v>
      </c>
      <c r="H3380" s="567">
        <v>3130</v>
      </c>
      <c r="O3380"/>
    </row>
    <row r="3381" spans="1:15" x14ac:dyDescent="0.2">
      <c r="A3381" s="567">
        <v>2516</v>
      </c>
      <c r="B3381" s="568" t="s">
        <v>2093</v>
      </c>
      <c r="C3381" s="568" t="s">
        <v>2098</v>
      </c>
      <c r="D3381" s="567">
        <v>7231</v>
      </c>
      <c r="E3381" s="567">
        <v>103</v>
      </c>
      <c r="F3381" s="567">
        <v>5</v>
      </c>
      <c r="G3381" s="567">
        <v>336</v>
      </c>
      <c r="H3381" s="567">
        <v>3130</v>
      </c>
      <c r="O3381"/>
    </row>
    <row r="3382" spans="1:15" x14ac:dyDescent="0.2">
      <c r="A3382" s="567">
        <v>2515</v>
      </c>
      <c r="B3382" s="568" t="s">
        <v>2093</v>
      </c>
      <c r="C3382" s="568" t="s">
        <v>433</v>
      </c>
      <c r="D3382" s="567">
        <v>7230</v>
      </c>
      <c r="E3382" s="567">
        <v>103</v>
      </c>
      <c r="F3382" s="567">
        <v>5</v>
      </c>
      <c r="G3382" s="567">
        <v>336</v>
      </c>
      <c r="H3382" s="567">
        <v>3130</v>
      </c>
      <c r="O3382"/>
    </row>
    <row r="3383" spans="1:15" x14ac:dyDescent="0.2">
      <c r="A3383" s="567">
        <v>848</v>
      </c>
      <c r="B3383" s="568" t="s">
        <v>434</v>
      </c>
      <c r="C3383" s="568" t="s">
        <v>433</v>
      </c>
      <c r="D3383" s="567">
        <v>2130</v>
      </c>
      <c r="E3383" s="567">
        <v>60</v>
      </c>
      <c r="F3383" s="567">
        <v>18</v>
      </c>
      <c r="G3383" s="567">
        <v>117</v>
      </c>
      <c r="H3383" s="567">
        <v>1130</v>
      </c>
      <c r="O3383"/>
    </row>
    <row r="3384" spans="1:15" x14ac:dyDescent="0.2">
      <c r="A3384" s="567">
        <v>2077</v>
      </c>
      <c r="B3384" s="568" t="s">
        <v>2374</v>
      </c>
      <c r="C3384" s="568" t="s">
        <v>187</v>
      </c>
      <c r="D3384" s="567">
        <v>5923</v>
      </c>
      <c r="E3384" s="567">
        <v>69</v>
      </c>
      <c r="F3384" s="567">
        <v>8</v>
      </c>
      <c r="G3384" s="567">
        <v>325</v>
      </c>
      <c r="H3384" s="567">
        <v>3160</v>
      </c>
      <c r="O3384"/>
    </row>
    <row r="3385" spans="1:15" x14ac:dyDescent="0.2">
      <c r="A3385" s="567">
        <v>2076</v>
      </c>
      <c r="B3385" s="568" t="s">
        <v>2374</v>
      </c>
      <c r="C3385" s="568" t="s">
        <v>2375</v>
      </c>
      <c r="D3385" s="567">
        <v>5922</v>
      </c>
      <c r="E3385" s="567">
        <v>69</v>
      </c>
      <c r="F3385" s="567">
        <v>8</v>
      </c>
      <c r="G3385" s="567">
        <v>325</v>
      </c>
      <c r="H3385" s="567">
        <v>3160</v>
      </c>
      <c r="O3385"/>
    </row>
    <row r="3386" spans="1:15" x14ac:dyDescent="0.2">
      <c r="A3386" s="567">
        <v>2074</v>
      </c>
      <c r="B3386" s="568" t="s">
        <v>2374</v>
      </c>
      <c r="C3386" s="568" t="s">
        <v>347</v>
      </c>
      <c r="D3386" s="567">
        <v>5920</v>
      </c>
      <c r="E3386" s="567">
        <v>69</v>
      </c>
      <c r="F3386" s="567">
        <v>8</v>
      </c>
      <c r="G3386" s="567">
        <v>325</v>
      </c>
      <c r="H3386" s="567">
        <v>3160</v>
      </c>
      <c r="O3386"/>
    </row>
    <row r="3387" spans="1:15" x14ac:dyDescent="0.2">
      <c r="A3387" s="567">
        <v>2075</v>
      </c>
      <c r="B3387" s="568" t="s">
        <v>2374</v>
      </c>
      <c r="C3387" s="568" t="s">
        <v>2382</v>
      </c>
      <c r="D3387" s="567">
        <v>5921</v>
      </c>
      <c r="E3387" s="567">
        <v>69</v>
      </c>
      <c r="F3387" s="567">
        <v>8</v>
      </c>
      <c r="G3387" s="567">
        <v>325</v>
      </c>
      <c r="H3387" s="567">
        <v>3160</v>
      </c>
      <c r="O3387"/>
    </row>
    <row r="3388" spans="1:15" x14ac:dyDescent="0.2">
      <c r="A3388" s="567">
        <v>2802</v>
      </c>
      <c r="B3388" s="568" t="s">
        <v>2617</v>
      </c>
      <c r="C3388" s="568" t="s">
        <v>347</v>
      </c>
      <c r="D3388" s="567">
        <v>8025</v>
      </c>
      <c r="E3388" s="567">
        <v>78</v>
      </c>
      <c r="F3388" s="567">
        <v>16</v>
      </c>
      <c r="G3388" s="567">
        <v>417</v>
      </c>
      <c r="H3388" s="567">
        <v>4100</v>
      </c>
      <c r="O3388"/>
    </row>
    <row r="3389" spans="1:15" x14ac:dyDescent="0.2">
      <c r="A3389" s="567">
        <v>1219</v>
      </c>
      <c r="B3389" s="568" t="s">
        <v>1414</v>
      </c>
      <c r="C3389" s="568" t="s">
        <v>1414</v>
      </c>
      <c r="D3389" s="567">
        <v>3275</v>
      </c>
      <c r="E3389" s="567">
        <v>101</v>
      </c>
      <c r="F3389" s="567">
        <v>2</v>
      </c>
      <c r="G3389" s="567">
        <v>226</v>
      </c>
      <c r="H3389" s="567">
        <v>2130</v>
      </c>
      <c r="O3389"/>
    </row>
    <row r="3390" spans="1:15" x14ac:dyDescent="0.2">
      <c r="A3390" s="567">
        <v>213</v>
      </c>
      <c r="B3390" s="568" t="s">
        <v>919</v>
      </c>
      <c r="C3390" s="568" t="s">
        <v>918</v>
      </c>
      <c r="D3390" s="567">
        <v>342</v>
      </c>
      <c r="E3390" s="567">
        <v>94</v>
      </c>
      <c r="F3390" s="567">
        <v>2</v>
      </c>
      <c r="G3390" s="567">
        <v>126</v>
      </c>
      <c r="H3390" s="567">
        <v>1190</v>
      </c>
      <c r="O3390"/>
    </row>
    <row r="3391" spans="1:15" x14ac:dyDescent="0.2">
      <c r="A3391" s="567">
        <v>212</v>
      </c>
      <c r="B3391" s="568" t="s">
        <v>919</v>
      </c>
      <c r="C3391" s="568" t="s">
        <v>920</v>
      </c>
      <c r="D3391" s="567">
        <v>341</v>
      </c>
      <c r="E3391" s="567">
        <v>94</v>
      </c>
      <c r="F3391" s="567">
        <v>2</v>
      </c>
      <c r="G3391" s="567">
        <v>126</v>
      </c>
      <c r="H3391" s="567">
        <v>1190</v>
      </c>
      <c r="O3391"/>
    </row>
    <row r="3392" spans="1:15" x14ac:dyDescent="0.2">
      <c r="A3392" s="567">
        <v>211</v>
      </c>
      <c r="B3392" s="568" t="s">
        <v>919</v>
      </c>
      <c r="C3392" s="568" t="s">
        <v>919</v>
      </c>
      <c r="D3392" s="567">
        <v>340</v>
      </c>
      <c r="E3392" s="567">
        <v>94</v>
      </c>
      <c r="F3392" s="567">
        <v>2</v>
      </c>
      <c r="G3392" s="567">
        <v>126</v>
      </c>
      <c r="H3392" s="567">
        <v>1190</v>
      </c>
      <c r="O3392"/>
    </row>
    <row r="3393" spans="1:15" x14ac:dyDescent="0.2">
      <c r="A3393" s="567">
        <v>2729</v>
      </c>
      <c r="B3393" s="568" t="s">
        <v>2920</v>
      </c>
      <c r="C3393" s="568" t="s">
        <v>2919</v>
      </c>
      <c r="D3393" s="567">
        <v>7833</v>
      </c>
      <c r="E3393" s="567">
        <v>85</v>
      </c>
      <c r="F3393" s="567">
        <v>14</v>
      </c>
      <c r="G3393" s="567">
        <v>415</v>
      </c>
      <c r="H3393" s="567">
        <v>4131</v>
      </c>
      <c r="O3393"/>
    </row>
    <row r="3394" spans="1:15" x14ac:dyDescent="0.2">
      <c r="A3394" s="567">
        <v>2730</v>
      </c>
      <c r="B3394" s="568" t="s">
        <v>2920</v>
      </c>
      <c r="C3394" s="568" t="s">
        <v>2930</v>
      </c>
      <c r="D3394" s="567">
        <v>7834</v>
      </c>
      <c r="E3394" s="567">
        <v>85</v>
      </c>
      <c r="F3394" s="567">
        <v>14</v>
      </c>
      <c r="G3394" s="567">
        <v>415</v>
      </c>
      <c r="H3394" s="567">
        <v>4131</v>
      </c>
      <c r="O3394"/>
    </row>
    <row r="3395" spans="1:15" x14ac:dyDescent="0.2">
      <c r="A3395" s="567">
        <v>2728</v>
      </c>
      <c r="B3395" s="568" t="s">
        <v>2920</v>
      </c>
      <c r="C3395" s="568" t="s">
        <v>2932</v>
      </c>
      <c r="D3395" s="567">
        <v>7832</v>
      </c>
      <c r="E3395" s="567">
        <v>85</v>
      </c>
      <c r="F3395" s="567">
        <v>14</v>
      </c>
      <c r="G3395" s="567">
        <v>415</v>
      </c>
      <c r="H3395" s="567">
        <v>4131</v>
      </c>
      <c r="O3395"/>
    </row>
    <row r="3396" spans="1:15" x14ac:dyDescent="0.2">
      <c r="A3396" s="567">
        <v>2727</v>
      </c>
      <c r="B3396" s="568" t="s">
        <v>2920</v>
      </c>
      <c r="C3396" s="568" t="s">
        <v>2933</v>
      </c>
      <c r="D3396" s="567">
        <v>7831</v>
      </c>
      <c r="E3396" s="567">
        <v>85</v>
      </c>
      <c r="F3396" s="567">
        <v>14</v>
      </c>
      <c r="G3396" s="567">
        <v>415</v>
      </c>
      <c r="H3396" s="567">
        <v>4131</v>
      </c>
      <c r="O3396"/>
    </row>
    <row r="3397" spans="1:15" x14ac:dyDescent="0.2">
      <c r="A3397" s="567">
        <v>2726</v>
      </c>
      <c r="B3397" s="568" t="s">
        <v>2920</v>
      </c>
      <c r="C3397" s="568" t="s">
        <v>2920</v>
      </c>
      <c r="D3397" s="567">
        <v>7830</v>
      </c>
      <c r="E3397" s="567">
        <v>85</v>
      </c>
      <c r="F3397" s="567">
        <v>14</v>
      </c>
      <c r="G3397" s="567">
        <v>415</v>
      </c>
      <c r="H3397" s="567">
        <v>4131</v>
      </c>
      <c r="O3397"/>
    </row>
    <row r="3398" spans="1:15" x14ac:dyDescent="0.2">
      <c r="A3398" s="567">
        <v>1089</v>
      </c>
      <c r="B3398" s="568" t="s">
        <v>1468</v>
      </c>
      <c r="C3398" s="568" t="s">
        <v>1468</v>
      </c>
      <c r="D3398" s="567">
        <v>2810</v>
      </c>
      <c r="E3398" s="567">
        <v>113</v>
      </c>
      <c r="F3398" s="567">
        <v>21</v>
      </c>
      <c r="G3398" s="567">
        <v>225</v>
      </c>
      <c r="H3398" s="567">
        <v>2140</v>
      </c>
      <c r="O3398"/>
    </row>
    <row r="3399" spans="1:15" x14ac:dyDescent="0.2">
      <c r="O3399"/>
    </row>
  </sheetData>
  <sheetProtection password="8677" sheet="1" objects="1" scenarios="1"/>
  <sortState ref="A13:F3398">
    <sortCondition ref="B4"/>
  </sortState>
  <pageMargins left="0.7" right="0.7" top="0.78740157499999996" bottom="0.78740157499999996"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92D050"/>
  </sheetPr>
  <dimension ref="A1:AJ447"/>
  <sheetViews>
    <sheetView workbookViewId="0"/>
  </sheetViews>
  <sheetFormatPr baseColWidth="10" defaultRowHeight="14.25" x14ac:dyDescent="0.2"/>
  <cols>
    <col min="1" max="1" width="22.75" bestFit="1" customWidth="1"/>
    <col min="2" max="4" width="12.75" customWidth="1"/>
    <col min="5" max="5" width="20" customWidth="1"/>
    <col min="6" max="6" width="6.5" customWidth="1"/>
    <col min="7" max="7" width="8.375" customWidth="1"/>
    <col min="8" max="8" width="14.5" customWidth="1"/>
    <col min="10" max="10" width="9.75" customWidth="1"/>
    <col min="11" max="11" width="34.875" bestFit="1" customWidth="1"/>
    <col min="12" max="12" width="10.875" bestFit="1" customWidth="1"/>
    <col min="13" max="15" width="7.375" bestFit="1" customWidth="1"/>
    <col min="16" max="16" width="8.5" customWidth="1"/>
    <col min="17" max="18" width="7.125" customWidth="1"/>
    <col min="19" max="21" width="15.375" customWidth="1"/>
    <col min="22" max="22" width="8.5" customWidth="1"/>
    <col min="23" max="23" width="11.375" customWidth="1"/>
    <col min="24" max="24" width="6" bestFit="1" customWidth="1"/>
    <col min="25" max="25" width="6.625" customWidth="1"/>
    <col min="26" max="26" width="7.5" customWidth="1"/>
    <col min="27" max="30" width="7.375" customWidth="1"/>
  </cols>
  <sheetData>
    <row r="1" spans="1:36" ht="15" x14ac:dyDescent="0.25">
      <c r="A1" s="576"/>
      <c r="B1" s="146"/>
      <c r="C1" s="650" t="str">
        <f>Startmenue!G2</f>
        <v>Version 1.2</v>
      </c>
      <c r="D1" s="146"/>
      <c r="E1" s="576"/>
      <c r="F1" s="146"/>
      <c r="G1" s="146"/>
      <c r="H1" s="146"/>
      <c r="I1" s="146"/>
      <c r="J1" s="146"/>
      <c r="K1" s="146"/>
      <c r="L1" s="146"/>
      <c r="M1" s="146"/>
      <c r="N1" s="146"/>
      <c r="O1" s="146"/>
      <c r="P1" s="146"/>
      <c r="Q1" s="146"/>
      <c r="R1" s="146"/>
      <c r="S1" s="576"/>
      <c r="T1" s="146"/>
      <c r="U1" s="146"/>
      <c r="V1" s="146"/>
      <c r="W1" s="146"/>
      <c r="X1" s="595"/>
      <c r="Y1" s="146"/>
      <c r="Z1" s="146"/>
      <c r="AA1" s="146"/>
      <c r="AB1" s="146"/>
      <c r="AC1" s="576"/>
      <c r="AD1" s="146"/>
      <c r="AE1" s="146"/>
      <c r="AF1" s="146"/>
      <c r="AG1" s="146"/>
      <c r="AH1" s="146"/>
      <c r="AI1" s="146"/>
      <c r="AJ1" s="146"/>
    </row>
    <row r="2" spans="1:36" x14ac:dyDescent="0.2">
      <c r="A2" s="22"/>
      <c r="B2" s="1805"/>
      <c r="C2" s="1805"/>
      <c r="D2" s="22"/>
      <c r="E2" s="22"/>
      <c r="F2" s="22"/>
      <c r="G2" s="1805"/>
      <c r="H2" s="1805"/>
      <c r="I2" s="1805"/>
      <c r="J2" s="1805"/>
      <c r="K2" s="1805"/>
      <c r="L2" s="1805"/>
      <c r="M2" s="1805"/>
      <c r="N2" s="1805"/>
      <c r="O2" s="1805"/>
      <c r="P2" s="1805"/>
      <c r="Q2" s="1805"/>
      <c r="R2" s="1805"/>
      <c r="S2" s="1805"/>
      <c r="T2" s="1805"/>
      <c r="U2" s="1805"/>
      <c r="V2" s="1805"/>
      <c r="W2" s="1805"/>
      <c r="X2" s="1805"/>
      <c r="Y2" s="1805"/>
      <c r="Z2" s="1805"/>
      <c r="AA2" s="1805"/>
      <c r="AB2" s="1805"/>
      <c r="AC2" s="22"/>
      <c r="AD2" s="22"/>
      <c r="AE2" s="22"/>
      <c r="AF2" s="22"/>
      <c r="AG2" s="22"/>
      <c r="AH2" s="22"/>
      <c r="AI2" s="22"/>
      <c r="AJ2" s="22"/>
    </row>
    <row r="3" spans="1:36" x14ac:dyDescent="0.2">
      <c r="A3" s="22" t="s">
        <v>4368</v>
      </c>
      <c r="B3" s="1814" t="s">
        <v>4613</v>
      </c>
      <c r="C3" s="1805"/>
      <c r="D3" s="22"/>
      <c r="E3" s="22"/>
      <c r="F3" s="22"/>
      <c r="G3" s="1805"/>
      <c r="H3" s="1805"/>
      <c r="I3" s="1805"/>
      <c r="J3" s="1805"/>
      <c r="K3" s="1805"/>
      <c r="L3" s="1805"/>
      <c r="M3" s="1805"/>
      <c r="N3" s="1805"/>
      <c r="O3" s="1805"/>
      <c r="P3" s="1805"/>
      <c r="Q3" s="1805"/>
      <c r="R3" s="1805"/>
      <c r="S3" s="1805"/>
      <c r="T3" s="1805"/>
      <c r="U3" s="1805"/>
      <c r="V3" s="1805"/>
      <c r="W3" s="1805"/>
      <c r="X3" s="1805"/>
      <c r="Y3" s="1805"/>
      <c r="Z3" s="1805"/>
      <c r="AA3" s="1805"/>
      <c r="AB3" s="1805"/>
      <c r="AC3" s="22"/>
      <c r="AD3" s="22"/>
      <c r="AE3" s="22"/>
      <c r="AF3" s="22"/>
      <c r="AG3" s="22"/>
      <c r="AH3" s="22"/>
      <c r="AI3" s="22"/>
      <c r="AJ3" s="22"/>
    </row>
    <row r="4" spans="1:36" x14ac:dyDescent="0.2">
      <c r="A4" s="481" t="s">
        <v>4369</v>
      </c>
      <c r="B4" s="1814" t="s">
        <v>4893</v>
      </c>
      <c r="C4" s="1805"/>
      <c r="D4" s="22"/>
      <c r="E4" s="22"/>
      <c r="F4" s="22"/>
      <c r="G4" s="1805"/>
      <c r="H4" s="1805"/>
      <c r="I4" s="1805"/>
      <c r="J4" s="1805"/>
      <c r="K4" s="1805"/>
      <c r="L4" s="1805"/>
      <c r="M4" s="1805"/>
      <c r="N4" s="1805"/>
      <c r="O4" s="1805"/>
      <c r="P4" s="1805"/>
      <c r="Q4" s="1805"/>
      <c r="R4" s="1805"/>
      <c r="S4" s="1805"/>
      <c r="T4" s="1805"/>
      <c r="U4" s="1805"/>
      <c r="V4" s="1805"/>
      <c r="W4" s="1805"/>
      <c r="X4" s="1805"/>
      <c r="Y4" s="1805"/>
      <c r="Z4" s="1805"/>
      <c r="AA4" s="1805"/>
      <c r="AB4" s="1805"/>
      <c r="AC4" s="22"/>
      <c r="AD4" s="22"/>
      <c r="AE4" s="22"/>
      <c r="AF4" s="22"/>
      <c r="AG4" s="22"/>
      <c r="AH4" s="22"/>
      <c r="AI4" s="22"/>
      <c r="AJ4" s="22"/>
    </row>
    <row r="5" spans="1:36" x14ac:dyDescent="0.2">
      <c r="A5" s="575"/>
      <c r="B5" s="575" t="s">
        <v>4892</v>
      </c>
      <c r="C5" s="1805"/>
      <c r="D5" s="22"/>
      <c r="E5" s="22"/>
      <c r="F5" s="22"/>
      <c r="G5" s="1805"/>
      <c r="H5" s="1805"/>
      <c r="I5" s="1805"/>
      <c r="J5" s="1805"/>
      <c r="K5" s="1805"/>
      <c r="L5" s="1805"/>
      <c r="M5" s="1805"/>
      <c r="N5" s="1805"/>
      <c r="O5" s="1805"/>
      <c r="P5" s="1805"/>
      <c r="Q5" s="1805"/>
      <c r="R5" s="1805"/>
      <c r="S5" s="1805"/>
      <c r="T5" s="1805"/>
      <c r="U5" s="1805"/>
      <c r="V5" s="1805"/>
      <c r="W5" s="1805"/>
      <c r="X5" s="1805"/>
      <c r="Y5" s="1805"/>
      <c r="Z5" s="1805"/>
      <c r="AA5" s="1805"/>
      <c r="AB5" s="1805"/>
      <c r="AC5" s="22"/>
      <c r="AD5" s="22"/>
      <c r="AE5" s="22"/>
      <c r="AF5" s="22"/>
      <c r="AG5" s="22"/>
      <c r="AH5" s="22"/>
      <c r="AI5" s="22"/>
      <c r="AJ5" s="22"/>
    </row>
    <row r="6" spans="1:36" x14ac:dyDescent="0.2">
      <c r="A6" s="575"/>
      <c r="B6" s="575"/>
      <c r="C6" s="1805"/>
      <c r="D6" s="22"/>
      <c r="E6" s="22"/>
      <c r="F6" s="22"/>
      <c r="G6" s="1805"/>
      <c r="H6" s="1805"/>
      <c r="I6" s="1805"/>
      <c r="J6" s="1805"/>
      <c r="K6" s="1805"/>
      <c r="L6" s="1805"/>
      <c r="M6" s="1805"/>
      <c r="N6" s="1805"/>
      <c r="O6" s="1805"/>
      <c r="P6" s="1805"/>
      <c r="Q6" s="1805"/>
      <c r="R6" s="1805"/>
      <c r="S6" s="1805"/>
      <c r="T6" s="1805"/>
      <c r="U6" s="1805"/>
      <c r="V6" s="1805"/>
      <c r="W6" s="1805"/>
      <c r="X6" s="1805"/>
      <c r="Y6" s="1805"/>
      <c r="Z6" s="1805"/>
      <c r="AA6" s="1805"/>
      <c r="AB6" s="1805"/>
      <c r="AC6" s="22"/>
      <c r="AD6" s="22"/>
      <c r="AE6" s="22"/>
      <c r="AF6" s="22"/>
      <c r="AG6" s="22"/>
      <c r="AH6" s="22"/>
      <c r="AI6" s="22"/>
      <c r="AJ6" s="22"/>
    </row>
    <row r="7" spans="1:36" x14ac:dyDescent="0.2">
      <c r="A7" s="22"/>
      <c r="B7" s="22"/>
      <c r="C7" s="22"/>
      <c r="D7" s="22"/>
      <c r="E7" s="575"/>
      <c r="F7" s="575"/>
      <c r="G7" s="1805"/>
      <c r="H7" s="22"/>
      <c r="I7" s="22"/>
      <c r="J7" s="22"/>
      <c r="K7" s="1805"/>
      <c r="L7" s="1805"/>
      <c r="M7" s="1805"/>
      <c r="N7" s="1805"/>
      <c r="O7" s="1805"/>
      <c r="P7" s="1805"/>
      <c r="Q7" s="1805"/>
      <c r="R7" s="1805"/>
      <c r="S7" s="1805"/>
      <c r="T7" s="1805"/>
      <c r="U7" s="1805"/>
      <c r="V7" s="1805"/>
      <c r="W7" s="1805"/>
      <c r="X7" s="1805"/>
      <c r="Y7" s="1805"/>
      <c r="Z7" s="1805"/>
      <c r="AA7" s="1805"/>
      <c r="AB7" s="1805"/>
      <c r="AC7" s="1805"/>
      <c r="AD7" s="1805"/>
      <c r="AE7" s="22"/>
      <c r="AF7" s="22"/>
      <c r="AG7" s="22"/>
      <c r="AH7" s="22"/>
      <c r="AI7" s="22"/>
      <c r="AJ7" s="22"/>
    </row>
    <row r="8" spans="1:36" x14ac:dyDescent="0.2">
      <c r="A8" s="22"/>
      <c r="B8" s="22"/>
      <c r="C8" s="22"/>
      <c r="D8" s="22"/>
      <c r="E8" s="575"/>
      <c r="F8" s="575"/>
      <c r="G8" s="1805"/>
      <c r="H8" s="22"/>
      <c r="I8" s="22"/>
      <c r="J8" s="22"/>
      <c r="K8" s="22"/>
      <c r="L8" s="22"/>
      <c r="M8" s="22"/>
      <c r="N8" s="1805"/>
      <c r="O8" s="1805"/>
      <c r="P8" s="1805"/>
      <c r="Q8" s="1805"/>
      <c r="R8" s="1805"/>
      <c r="S8" s="1805"/>
      <c r="T8" s="1805"/>
      <c r="U8" s="1805"/>
      <c r="V8" s="1805"/>
      <c r="W8" s="1805"/>
      <c r="X8" s="1805"/>
      <c r="Y8" s="1805"/>
      <c r="Z8" s="1805"/>
      <c r="AA8" s="1805"/>
      <c r="AB8" s="1805"/>
      <c r="AC8" s="1805"/>
      <c r="AD8" s="1805"/>
      <c r="AE8" s="22"/>
      <c r="AF8" s="22"/>
      <c r="AG8" s="22"/>
      <c r="AH8" s="22"/>
      <c r="AI8" s="22"/>
      <c r="AJ8" s="22"/>
    </row>
    <row r="9" spans="1:36" x14ac:dyDescent="0.2">
      <c r="A9" s="22"/>
      <c r="B9" s="22"/>
      <c r="C9" s="22"/>
      <c r="D9" s="22"/>
      <c r="E9" s="575"/>
      <c r="F9" s="575"/>
      <c r="G9" s="1805"/>
      <c r="H9" s="22"/>
      <c r="I9" s="22"/>
      <c r="J9" s="22"/>
      <c r="K9" s="22"/>
      <c r="L9" s="22"/>
      <c r="M9" s="22"/>
      <c r="N9" s="1805"/>
      <c r="O9" s="1805"/>
      <c r="P9" s="1805"/>
      <c r="Q9" s="1805"/>
      <c r="R9" s="1805"/>
      <c r="S9" s="1805"/>
      <c r="T9" s="1805"/>
      <c r="U9" s="1805"/>
      <c r="V9" s="1805"/>
      <c r="W9" s="1805"/>
      <c r="X9" s="1805"/>
      <c r="Y9" s="1805"/>
      <c r="Z9" s="1805"/>
      <c r="AA9" s="1805"/>
      <c r="AB9" s="1805"/>
      <c r="AC9" s="1805"/>
      <c r="AD9" s="1805"/>
      <c r="AE9" s="22"/>
      <c r="AF9" s="22"/>
      <c r="AG9" s="22"/>
      <c r="AH9" s="22"/>
      <c r="AI9" s="22"/>
      <c r="AJ9" s="22"/>
    </row>
    <row r="10" spans="1:36" ht="15" x14ac:dyDescent="0.25">
      <c r="A10" s="1813" t="s">
        <v>3311</v>
      </c>
      <c r="E10" s="575"/>
      <c r="F10" s="575"/>
      <c r="G10" s="1805"/>
      <c r="H10" s="22"/>
      <c r="I10" s="22"/>
      <c r="J10" s="22"/>
      <c r="K10" s="22"/>
      <c r="L10" s="22"/>
      <c r="M10" s="22"/>
      <c r="N10" s="1805"/>
      <c r="O10" s="1805"/>
      <c r="P10" s="1805"/>
      <c r="Q10" s="1805"/>
      <c r="R10" s="1805"/>
      <c r="S10" s="1805"/>
      <c r="T10" s="1805"/>
      <c r="U10" s="1805"/>
      <c r="V10" s="1805"/>
      <c r="W10" s="1805"/>
      <c r="X10" s="1805"/>
      <c r="Y10" s="1805"/>
      <c r="Z10" s="1805"/>
      <c r="AA10" s="1805"/>
      <c r="AB10" s="1805"/>
      <c r="AC10" s="1805"/>
      <c r="AD10" s="1805"/>
      <c r="AE10" s="22"/>
      <c r="AF10" s="22"/>
      <c r="AG10" s="22"/>
      <c r="AH10" s="22"/>
      <c r="AI10" s="22"/>
      <c r="AJ10" s="22"/>
    </row>
    <row r="11" spans="1:36" ht="15" thickBot="1" x14ac:dyDescent="0.25">
      <c r="A11" s="1812">
        <f>GL_Eingabe!$M$48</f>
        <v>4</v>
      </c>
      <c r="B11" s="1811" t="str">
        <f>VLOOKUP($A$11,Bodenarten!$B$10:$C$17,Bodenarten!$C$2,FALSE)</f>
        <v>sandiger bis schluffiger Lehm, sL - uL</v>
      </c>
      <c r="C11" s="4" t="str">
        <f>VLOOKUP(B11,$K$14:$L$20,2,FALSE)</f>
        <v>mittel</v>
      </c>
      <c r="D11" s="958"/>
      <c r="E11" s="575"/>
      <c r="F11" s="575"/>
      <c r="G11" s="1805"/>
      <c r="H11" s="22"/>
      <c r="I11" s="22"/>
      <c r="J11" s="22"/>
      <c r="K11" s="22"/>
      <c r="L11" s="22"/>
      <c r="M11" s="22"/>
      <c r="N11" s="1805"/>
      <c r="O11" s="1805"/>
      <c r="P11" s="1805"/>
      <c r="Q11" s="1805"/>
      <c r="R11" s="1805"/>
      <c r="S11" s="1805"/>
      <c r="T11" s="1805"/>
      <c r="U11" s="1805"/>
      <c r="V11" s="1805"/>
      <c r="W11" s="1805"/>
      <c r="X11" s="1805"/>
      <c r="Y11" s="1805"/>
      <c r="Z11" s="1805"/>
      <c r="AA11" s="1805"/>
      <c r="AB11" s="1805"/>
      <c r="AC11" s="1805"/>
      <c r="AD11" s="1805"/>
      <c r="AE11" s="22"/>
      <c r="AF11" s="22"/>
      <c r="AG11" s="22"/>
      <c r="AH11" s="22"/>
      <c r="AI11" s="22"/>
      <c r="AJ11" s="22"/>
    </row>
    <row r="12" spans="1:36" ht="15.75" thickBot="1" x14ac:dyDescent="0.3">
      <c r="A12" s="1810"/>
      <c r="B12" s="1809" t="s">
        <v>3807</v>
      </c>
      <c r="C12" s="1809" t="s">
        <v>3808</v>
      </c>
      <c r="D12" s="1809" t="s">
        <v>25</v>
      </c>
      <c r="E12" s="575"/>
      <c r="F12" s="575"/>
      <c r="G12" s="1805"/>
      <c r="H12" s="22"/>
      <c r="I12" s="22"/>
      <c r="J12" s="22"/>
      <c r="K12" s="22"/>
      <c r="L12" s="22"/>
      <c r="M12" s="22"/>
      <c r="N12" s="1805"/>
      <c r="O12" s="1805"/>
      <c r="P12" s="1805"/>
      <c r="Q12" s="1805"/>
      <c r="R12" s="1805"/>
      <c r="S12" s="1805"/>
      <c r="T12" s="1805"/>
      <c r="U12" s="1805"/>
      <c r="V12" s="1805"/>
      <c r="W12" s="1805"/>
      <c r="X12" s="1805"/>
      <c r="Y12" s="1805"/>
      <c r="Z12" s="1805"/>
      <c r="AA12" s="1805"/>
      <c r="AB12" s="1805"/>
      <c r="AC12" s="1805"/>
      <c r="AD12" s="1805"/>
      <c r="AE12" s="22"/>
      <c r="AF12" s="22"/>
      <c r="AG12" s="22"/>
      <c r="AH12" s="22"/>
      <c r="AI12" s="22"/>
      <c r="AJ12" s="22"/>
    </row>
    <row r="13" spans="1:36" ht="15" thickBot="1" x14ac:dyDescent="0.25">
      <c r="A13" s="958"/>
      <c r="B13" s="1808">
        <f>ROUND(GL_Eingabe!$H$47,0)</f>
        <v>0</v>
      </c>
      <c r="C13" s="1808">
        <f>ROUND(GL_Eingabe!$I$47,0)</f>
        <v>0</v>
      </c>
      <c r="D13" s="1808">
        <f>ROUND(GL_Eingabe!$J$47,0)</f>
        <v>0</v>
      </c>
      <c r="E13" s="575"/>
      <c r="F13" s="575"/>
      <c r="G13" s="1805"/>
      <c r="H13" s="22"/>
      <c r="I13" s="22"/>
      <c r="J13" s="22"/>
      <c r="K13" s="22"/>
      <c r="L13" s="22"/>
      <c r="M13" s="22"/>
      <c r="N13" s="1805"/>
      <c r="O13" s="1805"/>
      <c r="P13" s="1805"/>
      <c r="Q13" s="1805"/>
      <c r="R13" s="1805"/>
      <c r="S13" s="1805"/>
      <c r="T13" s="1805"/>
      <c r="U13" s="1805"/>
      <c r="V13" s="1805"/>
      <c r="W13" s="1805"/>
      <c r="X13" s="1805"/>
      <c r="Y13" s="1805"/>
      <c r="Z13" s="1805"/>
      <c r="AA13" s="1805"/>
      <c r="AB13" s="1805"/>
      <c r="AC13" s="1805"/>
      <c r="AD13" s="1805"/>
      <c r="AE13" s="22"/>
      <c r="AF13" s="22"/>
      <c r="AG13" s="22"/>
      <c r="AH13" s="22"/>
      <c r="AI13" s="22"/>
      <c r="AJ13" s="22"/>
    </row>
    <row r="14" spans="1:36" ht="15.75" thickBot="1" x14ac:dyDescent="0.3">
      <c r="A14" s="1807" t="s">
        <v>4891</v>
      </c>
      <c r="B14" s="1806" t="str">
        <f>IF(ROUND(B$13,0)&lt;=VLOOKUP($A$10&amp;"-"&amp;B$12&amp;"-"&amp;$C$11&amp;"-"&amp;"A",$A$45:$F$284,$F$43,FALSE),"A",IF(ROUND(B$13,0)&lt;=VLOOKUP($A$10&amp;"-"&amp;B$12&amp;"-"&amp;$C$11&amp;"-"&amp;"B",$A$45:$F$284,$F$43,FALSE),"B",IF(ROUND(B$13,0)&lt;=VLOOKUP($A$10&amp;"-"&amp;B$12&amp;"-"&amp;$C$11&amp;"-"&amp;"C",$A$45:$F$284,$F$43,FALSE),"C",IF(ROUND(B$13,0)&lt;=VLOOKUP($A$10&amp;"-"&amp;B$12&amp;"-"&amp;$C$11&amp;"-"&amp;"D",$A$45:$F$284,$F$43,FALSE),"D","E"))))</f>
        <v>A</v>
      </c>
      <c r="C14" s="1806" t="str">
        <f>IF(ROUND(C$13,0)&lt;=VLOOKUP($A$10&amp;"-"&amp;C$12&amp;"-"&amp;$C$11&amp;"-"&amp;"A",$A$45:$F$284,$F$43,FALSE),"A",IF(ROUND(C$13,0)&lt;=VLOOKUP($A$10&amp;"-"&amp;C$12&amp;"-"&amp;$C$11&amp;"-"&amp;"B",$A$45:$F$284,$F$43,FALSE),"B",IF(ROUND(C$13,0)&lt;=VLOOKUP($A$10&amp;"-"&amp;C$12&amp;"-"&amp;$C$11&amp;"-"&amp;"C",$A$45:$F$284,$F$43,FALSE),"C",IF(ROUND(C$13,0)&lt;=VLOOKUP($A$10&amp;"-"&amp;C$12&amp;"-"&amp;$C$11&amp;"-"&amp;"D",$A$45:$F$284,$F$43,FALSE),"D","E"))))</f>
        <v>A</v>
      </c>
      <c r="D14" s="1806" t="str">
        <f>IF(ROUND(D$13,0)&lt;=VLOOKUP($A$10&amp;"-"&amp;D$12&amp;"-"&amp;$C$11&amp;"-"&amp;"A",$A$45:$F$284,$F$43,FALSE),"A",IF(ROUND(D$13,0)&lt;=VLOOKUP($A$10&amp;"-"&amp;D$12&amp;"-"&amp;$C$11&amp;"-"&amp;"B",$A$45:$F$284,$F$43,FALSE),"B",IF(ROUND(D$13,0)&lt;=VLOOKUP($A$10&amp;"-"&amp;D$12&amp;"-"&amp;$C$11&amp;"-"&amp;"C",$A$45:$F$284,$F$43,FALSE),"C",IF(ROUND(D$13,0)&lt;=VLOOKUP($A$10&amp;"-"&amp;D$12&amp;"-"&amp;$C$11&amp;"-"&amp;"D",$A$45:$F$284,$F$43,FALSE),"D","E"))))</f>
        <v>A</v>
      </c>
      <c r="E14" s="575"/>
      <c r="F14" s="575"/>
      <c r="G14" s="1805"/>
      <c r="H14" s="22"/>
      <c r="I14" s="22"/>
      <c r="J14" s="1093">
        <f>J7+1</f>
        <v>1</v>
      </c>
      <c r="K14" s="510" t="s">
        <v>3352</v>
      </c>
      <c r="L14" s="510" t="s">
        <v>3635</v>
      </c>
      <c r="M14" s="22"/>
      <c r="N14" s="1805"/>
      <c r="O14" s="1805"/>
      <c r="P14" s="1805"/>
      <c r="Q14" s="1805"/>
      <c r="R14" s="1805"/>
      <c r="S14" s="1805"/>
      <c r="T14" s="1805"/>
      <c r="U14" s="1805"/>
      <c r="V14" s="1805"/>
      <c r="W14" s="1805"/>
      <c r="X14" s="1805"/>
      <c r="Y14" s="1805"/>
      <c r="Z14" s="1805"/>
      <c r="AA14" s="1805"/>
      <c r="AB14" s="1805"/>
      <c r="AC14" s="1805"/>
      <c r="AD14" s="1805"/>
      <c r="AE14" s="22"/>
      <c r="AF14" s="22"/>
      <c r="AG14" s="22"/>
      <c r="AH14" s="22"/>
      <c r="AI14" s="22"/>
      <c r="AJ14" s="22"/>
    </row>
    <row r="15" spans="1:36" x14ac:dyDescent="0.2">
      <c r="E15" s="575"/>
      <c r="F15" s="575"/>
      <c r="G15" s="1805"/>
      <c r="H15" s="22"/>
      <c r="I15" s="22"/>
      <c r="J15" s="1093">
        <f>J14+1</f>
        <v>2</v>
      </c>
      <c r="K15" s="510" t="s">
        <v>3354</v>
      </c>
      <c r="L15" s="510" t="s">
        <v>3635</v>
      </c>
      <c r="M15" s="22"/>
      <c r="N15" s="1805"/>
      <c r="O15" s="1805"/>
      <c r="P15" s="1805"/>
      <c r="Q15" s="1805"/>
      <c r="R15" s="1805"/>
      <c r="S15" s="1805"/>
      <c r="T15" s="1805"/>
      <c r="U15" s="1805"/>
      <c r="V15" s="1805"/>
      <c r="W15" s="1805"/>
      <c r="X15" s="1805"/>
      <c r="Y15" s="1805"/>
      <c r="Z15" s="1805"/>
      <c r="AA15" s="1805"/>
      <c r="AB15" s="1805"/>
      <c r="AC15" s="1805"/>
      <c r="AD15" s="1805"/>
      <c r="AE15" s="22"/>
      <c r="AF15" s="22"/>
      <c r="AG15" s="22"/>
      <c r="AH15" s="22"/>
      <c r="AI15" s="22"/>
      <c r="AJ15" s="22"/>
    </row>
    <row r="16" spans="1:36" ht="15" x14ac:dyDescent="0.25">
      <c r="A16" s="1813" t="s">
        <v>4888</v>
      </c>
      <c r="E16" s="575"/>
      <c r="F16" s="575"/>
      <c r="G16" s="1805"/>
      <c r="H16" s="22"/>
      <c r="I16" s="22"/>
      <c r="J16" s="1093">
        <f>J15+1</f>
        <v>3</v>
      </c>
      <c r="K16" s="510" t="s">
        <v>3356</v>
      </c>
      <c r="L16" s="510" t="s">
        <v>3453</v>
      </c>
      <c r="M16" s="22"/>
      <c r="N16" s="1805"/>
      <c r="O16" s="1805"/>
      <c r="P16" s="1805"/>
      <c r="Q16" s="1805"/>
      <c r="R16" s="1805"/>
      <c r="S16" s="1805"/>
      <c r="T16" s="1805"/>
      <c r="U16" s="1805"/>
      <c r="V16" s="1805"/>
      <c r="W16" s="1805"/>
      <c r="X16" s="1805"/>
      <c r="Y16" s="1805"/>
      <c r="Z16" s="1805"/>
      <c r="AA16" s="1805"/>
      <c r="AB16" s="1805"/>
      <c r="AC16" s="1805"/>
      <c r="AD16" s="1805"/>
      <c r="AE16" s="22"/>
      <c r="AF16" s="22"/>
      <c r="AG16" s="22"/>
      <c r="AH16" s="22"/>
      <c r="AI16" s="22"/>
      <c r="AJ16" s="22"/>
    </row>
    <row r="17" spans="1:36" ht="15" thickBot="1" x14ac:dyDescent="0.25">
      <c r="A17" s="1812">
        <f>AB_Eingabe!M40</f>
        <v>4</v>
      </c>
      <c r="B17" s="1811" t="str">
        <f>VLOOKUP($A$17,Bodenarten!$B$10:$C$17,Bodenarten!$C$2,FALSE)</f>
        <v>sandiger bis schluffiger Lehm, sL - uL</v>
      </c>
      <c r="C17" s="4" t="str">
        <f>VLOOKUP(B17,$K$14:$L$20,2,FALSE)</f>
        <v>mittel</v>
      </c>
      <c r="D17" s="958"/>
      <c r="E17" s="575"/>
      <c r="F17" s="575"/>
      <c r="G17" s="1805"/>
      <c r="H17" s="22"/>
      <c r="I17" s="22"/>
      <c r="J17" s="1093">
        <f>J16+1</f>
        <v>4</v>
      </c>
      <c r="K17" s="510" t="s">
        <v>3451</v>
      </c>
      <c r="L17" s="510" t="s">
        <v>3453</v>
      </c>
      <c r="M17" s="1805"/>
      <c r="N17" s="1805"/>
      <c r="O17" s="1805"/>
      <c r="P17" s="1805"/>
      <c r="Q17" s="1805"/>
      <c r="R17" s="1805"/>
      <c r="S17" s="1805"/>
      <c r="T17" s="1805"/>
      <c r="U17" s="1805"/>
      <c r="V17" s="1805"/>
      <c r="W17" s="1805"/>
      <c r="X17" s="1805"/>
      <c r="Y17" s="1805"/>
      <c r="Z17" s="1805"/>
      <c r="AA17" s="1805"/>
      <c r="AB17" s="1805"/>
      <c r="AC17" s="1805"/>
      <c r="AD17" s="1805"/>
      <c r="AE17" s="22"/>
      <c r="AF17" s="22"/>
      <c r="AG17" s="22"/>
      <c r="AH17" s="22"/>
      <c r="AI17" s="22"/>
      <c r="AJ17" s="22"/>
    </row>
    <row r="18" spans="1:36" ht="15.75" thickBot="1" x14ac:dyDescent="0.3">
      <c r="A18" s="1810"/>
      <c r="B18" s="1809" t="s">
        <v>3807</v>
      </c>
      <c r="C18" s="1809" t="s">
        <v>3808</v>
      </c>
      <c r="D18" s="1809" t="s">
        <v>25</v>
      </c>
      <c r="E18" s="575"/>
      <c r="F18" s="575"/>
      <c r="G18" s="1805"/>
      <c r="H18" s="22"/>
      <c r="I18" s="22"/>
      <c r="J18" s="1093">
        <f>J17+1</f>
        <v>5</v>
      </c>
      <c r="K18" s="510" t="s">
        <v>4578</v>
      </c>
      <c r="L18" s="510" t="s">
        <v>3640</v>
      </c>
      <c r="M18" s="1805"/>
      <c r="N18" s="1805"/>
      <c r="O18" s="1805"/>
      <c r="P18" s="1805"/>
      <c r="Q18" s="1805"/>
      <c r="R18" s="1805"/>
      <c r="S18" s="1805"/>
      <c r="T18" s="1805"/>
      <c r="U18" s="1805"/>
      <c r="V18" s="1805"/>
      <c r="W18" s="1805"/>
      <c r="X18" s="1805"/>
      <c r="Y18" s="1805"/>
      <c r="Z18" s="1805"/>
      <c r="AA18" s="1805"/>
      <c r="AB18" s="1805"/>
      <c r="AC18" s="1805"/>
      <c r="AD18" s="1805"/>
      <c r="AE18" s="22"/>
      <c r="AF18" s="22"/>
      <c r="AG18" s="22"/>
      <c r="AH18" s="22"/>
      <c r="AI18" s="22"/>
      <c r="AJ18" s="22"/>
    </row>
    <row r="19" spans="1:36" ht="15" thickBot="1" x14ac:dyDescent="0.25">
      <c r="A19" s="958"/>
      <c r="B19" s="1808">
        <f>ROUND(AB_Eingabe!$H$42,0)</f>
        <v>0</v>
      </c>
      <c r="C19" s="1808">
        <f>ROUND(AB_Eingabe!$I$42,0)</f>
        <v>0</v>
      </c>
      <c r="D19" s="1808">
        <f>ROUND(AB_Eingabe!J42,0)</f>
        <v>0</v>
      </c>
      <c r="E19" s="575"/>
      <c r="F19" s="575"/>
      <c r="G19" s="1805"/>
      <c r="H19" s="22"/>
      <c r="I19" s="22"/>
      <c r="J19" s="1093">
        <f>J18+1</f>
        <v>6</v>
      </c>
      <c r="K19" s="510" t="s">
        <v>3368</v>
      </c>
      <c r="L19" s="510" t="s">
        <v>3369</v>
      </c>
      <c r="M19" s="1805"/>
      <c r="N19" s="1805"/>
      <c r="O19" s="1805"/>
      <c r="P19" s="1805"/>
      <c r="Q19" s="1805"/>
      <c r="R19" s="1805"/>
      <c r="S19" s="1805"/>
      <c r="T19" s="1805"/>
      <c r="U19" s="1805"/>
      <c r="V19" s="1805"/>
      <c r="W19" s="1805"/>
      <c r="X19" s="1805"/>
      <c r="Y19" s="1805"/>
      <c r="Z19" s="1805"/>
      <c r="AA19" s="1805"/>
      <c r="AB19" s="1805"/>
      <c r="AC19" s="1805"/>
      <c r="AD19" s="1805"/>
      <c r="AE19" s="22"/>
      <c r="AF19" s="22"/>
      <c r="AG19" s="22"/>
      <c r="AH19" s="22"/>
      <c r="AI19" s="22"/>
      <c r="AJ19" s="22"/>
    </row>
    <row r="20" spans="1:36" ht="15.75" thickBot="1" x14ac:dyDescent="0.3">
      <c r="A20" s="1807" t="s">
        <v>4891</v>
      </c>
      <c r="B20" s="1806" t="str">
        <f>IF(ROUND(B$19,0)&lt;=VLOOKUP($A$16&amp;"-"&amp;B$18&amp;"-"&amp;$C$17&amp;"-"&amp;"A",$A$45:$F$284,$F$43,FALSE),"A",IF(ROUND(B$19,0)&lt;=VLOOKUP($A$16&amp;"-"&amp;B$18&amp;"-"&amp;$C$17&amp;"-"&amp;"B",$A$45:$F$284,$F$43,FALSE),"B",IF(ROUND(B$19,0)&lt;=VLOOKUP($A$16&amp;"-"&amp;B$18&amp;"-"&amp;$C$17&amp;"-"&amp;"C",$A$45:$F$284,$F$43,FALSE),"C",IF(ROUND(B$19,0)&lt;=VLOOKUP($A$16&amp;"-"&amp;B$18&amp;"-"&amp;$C$17&amp;"-"&amp;"D",$A$45:$F$284,$F$43,FALSE),"D","E"))))</f>
        <v>A</v>
      </c>
      <c r="C20" s="1806" t="str">
        <f>IF(ROUND(C$19,0)&lt;=VLOOKUP($A$16&amp;"-"&amp;C$18&amp;"-"&amp;$C$17&amp;"-"&amp;"A",$A$45:$F$284,$F$43,FALSE),"A",IF(ROUND(C$19,0)&lt;=VLOOKUP($A$16&amp;"-"&amp;C$18&amp;"-"&amp;$C$17&amp;"-"&amp;"B",$A$45:$F$284,$F$43,FALSE),"B",IF(ROUND(C$19,0)&lt;=VLOOKUP($A$16&amp;"-"&amp;C$18&amp;"-"&amp;$C$17&amp;"-"&amp;"C",$A$45:$F$284,$F$43,FALSE),"C",IF(ROUND(C$19,0)&lt;=VLOOKUP($A$16&amp;"-"&amp;C$18&amp;"-"&amp;$C$17&amp;"-"&amp;"D",$A$45:$F$284,$F$43,FALSE),"D","E"))))</f>
        <v>A</v>
      </c>
      <c r="D20" s="1806" t="str">
        <f>IF(ROUND(D$19,0)&lt;=VLOOKUP($A$16&amp;"-"&amp;D$18&amp;"-"&amp;$C$17&amp;"-"&amp;"A",$A$45:$F$284,$F$43,FALSE),"A",IF(ROUND(D$19,0)&lt;=VLOOKUP($A$16&amp;"-"&amp;D$18&amp;"-"&amp;$C$17&amp;"-"&amp;"B",$A$45:$F$284,$F$43,FALSE),"B",IF(ROUND(D$19,0)&lt;=VLOOKUP($A$16&amp;"-"&amp;D$18&amp;"-"&amp;$C$17&amp;"-"&amp;"C",$A$45:$F$284,$F$43,FALSE),"C",IF(ROUND(D$19,0)&lt;=VLOOKUP($A$16&amp;"-"&amp;D$18&amp;"-"&amp;$C$17&amp;"-"&amp;"D",$A$45:$F$284,$F$43,FALSE),"D","E"))))</f>
        <v>A</v>
      </c>
      <c r="E20" s="575"/>
      <c r="F20" s="575"/>
      <c r="G20" s="1805"/>
      <c r="H20" s="22"/>
      <c r="I20" s="22"/>
      <c r="J20" s="1093">
        <v>7</v>
      </c>
      <c r="K20" s="724" t="s">
        <v>3458</v>
      </c>
      <c r="L20" s="510" t="s">
        <v>3369</v>
      </c>
      <c r="M20" s="1805"/>
      <c r="N20" s="1805"/>
      <c r="O20" s="1805"/>
      <c r="P20" s="1805"/>
      <c r="Q20" s="1805"/>
      <c r="R20" s="1805"/>
      <c r="S20" s="1805"/>
      <c r="T20" s="1805"/>
      <c r="U20" s="1805"/>
      <c r="V20" s="1805"/>
      <c r="W20" s="1805"/>
      <c r="X20" s="1805"/>
      <c r="Y20" s="1805"/>
      <c r="Z20" s="1805"/>
      <c r="AA20" s="1805"/>
      <c r="AB20" s="1805"/>
      <c r="AC20" s="1805"/>
      <c r="AD20" s="1805"/>
      <c r="AE20" s="22"/>
      <c r="AF20" s="22"/>
      <c r="AG20" s="22"/>
      <c r="AH20" s="22"/>
      <c r="AI20" s="22"/>
      <c r="AJ20" s="22"/>
    </row>
    <row r="21" spans="1:36" x14ac:dyDescent="0.2">
      <c r="E21" s="575"/>
      <c r="F21" s="575"/>
      <c r="G21" s="1805"/>
      <c r="H21" s="22"/>
      <c r="I21" s="22"/>
      <c r="J21" s="1805"/>
      <c r="K21" s="1805"/>
      <c r="L21" s="1805"/>
      <c r="M21" s="1805"/>
      <c r="N21" s="1805"/>
      <c r="O21" s="1805"/>
      <c r="P21" s="1805"/>
      <c r="Q21" s="1805"/>
      <c r="R21" s="1805"/>
      <c r="S21" s="1805"/>
      <c r="T21" s="1805"/>
      <c r="U21" s="1805"/>
      <c r="V21" s="1805"/>
      <c r="W21" s="1805"/>
      <c r="X21" s="1805"/>
      <c r="Y21" s="1805"/>
      <c r="Z21" s="1805"/>
      <c r="AA21" s="1805"/>
      <c r="AB21" s="1805"/>
      <c r="AC21" s="1805"/>
      <c r="AD21" s="1805"/>
      <c r="AE21" s="22"/>
      <c r="AF21" s="22"/>
      <c r="AG21" s="22"/>
      <c r="AH21" s="22"/>
      <c r="AI21" s="22"/>
      <c r="AJ21" s="22"/>
    </row>
    <row r="22" spans="1:36" ht="15" x14ac:dyDescent="0.25">
      <c r="A22" s="1813" t="s">
        <v>3651</v>
      </c>
      <c r="E22" s="575"/>
      <c r="F22" s="575"/>
      <c r="G22" s="1805"/>
      <c r="H22" s="22"/>
      <c r="I22" s="22"/>
      <c r="J22" s="1805"/>
      <c r="K22" s="1805"/>
      <c r="L22" s="1805"/>
      <c r="M22" s="1805"/>
      <c r="N22" s="1805"/>
      <c r="O22" s="1805"/>
      <c r="P22" s="1805"/>
      <c r="Q22" s="1805"/>
      <c r="R22" s="1805"/>
      <c r="S22" s="1805"/>
      <c r="T22" s="1805"/>
      <c r="U22" s="1805"/>
      <c r="V22" s="1805"/>
      <c r="W22" s="1805"/>
      <c r="X22" s="1805"/>
      <c r="Y22" s="1805"/>
      <c r="Z22" s="1805"/>
      <c r="AA22" s="1805"/>
      <c r="AB22" s="1805"/>
      <c r="AC22" s="1805"/>
      <c r="AD22" s="1805"/>
      <c r="AE22" s="22"/>
      <c r="AF22" s="22"/>
      <c r="AG22" s="22"/>
      <c r="AH22" s="22"/>
      <c r="AI22" s="22"/>
      <c r="AJ22" s="22"/>
    </row>
    <row r="23" spans="1:36" ht="15" thickBot="1" x14ac:dyDescent="0.25">
      <c r="A23" s="1812">
        <f>OR_Eingabe!$M$33</f>
        <v>4</v>
      </c>
      <c r="B23" s="1811" t="str">
        <f>VLOOKUP($A$23,Bodenarten!$B$10:$C$17,Bodenarten!$C$2,FALSE)</f>
        <v>sandiger bis schluffiger Lehm, sL - uL</v>
      </c>
      <c r="C23" s="4" t="str">
        <f>VLOOKUP(B23,$K$14:$L$20,2,FALSE)</f>
        <v>mittel</v>
      </c>
      <c r="D23" s="958"/>
      <c r="E23" s="575"/>
      <c r="F23" s="575"/>
      <c r="G23" s="1805"/>
      <c r="H23" s="22"/>
      <c r="I23" s="22"/>
      <c r="J23" s="22"/>
      <c r="K23" s="1805"/>
      <c r="L23" s="1805"/>
      <c r="M23" s="1805"/>
      <c r="N23" s="1805"/>
      <c r="O23" s="1805"/>
      <c r="P23" s="1805"/>
      <c r="Q23" s="1805"/>
      <c r="R23" s="1805"/>
      <c r="S23" s="1805"/>
      <c r="T23" s="1805"/>
      <c r="U23" s="1805"/>
      <c r="V23" s="1805"/>
      <c r="W23" s="1805"/>
      <c r="X23" s="1805"/>
      <c r="Y23" s="1805"/>
      <c r="Z23" s="1805"/>
      <c r="AA23" s="1805"/>
      <c r="AB23" s="1805"/>
      <c r="AC23" s="1805"/>
      <c r="AD23" s="1805"/>
      <c r="AE23" s="22"/>
      <c r="AF23" s="22"/>
      <c r="AG23" s="22"/>
      <c r="AH23" s="22"/>
      <c r="AI23" s="22"/>
      <c r="AJ23" s="22"/>
    </row>
    <row r="24" spans="1:36" ht="15.75" thickBot="1" x14ac:dyDescent="0.3">
      <c r="A24" s="1810"/>
      <c r="B24" s="1809" t="s">
        <v>3807</v>
      </c>
      <c r="C24" s="1809" t="s">
        <v>3808</v>
      </c>
      <c r="D24" s="1809" t="s">
        <v>25</v>
      </c>
      <c r="E24" s="575"/>
      <c r="F24" s="575"/>
      <c r="G24" s="1805"/>
      <c r="H24" s="22"/>
      <c r="I24" s="22"/>
      <c r="J24" s="22"/>
      <c r="K24" s="1805"/>
      <c r="L24" s="1805"/>
      <c r="M24" s="1805"/>
      <c r="N24" s="1805"/>
      <c r="O24" s="1805"/>
      <c r="P24" s="1805"/>
      <c r="Q24" s="1805"/>
      <c r="R24" s="1805"/>
      <c r="S24" s="1805"/>
      <c r="T24" s="1805"/>
      <c r="U24" s="1805"/>
      <c r="V24" s="1805"/>
      <c r="W24" s="1805"/>
      <c r="X24" s="1805"/>
      <c r="Y24" s="1805"/>
      <c r="Z24" s="1805"/>
      <c r="AA24" s="1805"/>
      <c r="AB24" s="1805"/>
      <c r="AC24" s="1805"/>
      <c r="AD24" s="1805"/>
      <c r="AE24" s="22"/>
      <c r="AF24" s="22"/>
      <c r="AG24" s="22"/>
      <c r="AH24" s="22"/>
      <c r="AI24" s="22"/>
      <c r="AJ24" s="22"/>
    </row>
    <row r="25" spans="1:36" ht="15" thickBot="1" x14ac:dyDescent="0.25">
      <c r="A25" s="958"/>
      <c r="B25" s="1808">
        <f>OR_Eingabe!H35</f>
        <v>0</v>
      </c>
      <c r="C25" s="1808">
        <f>ROUND(OR_Eingabe!$I$35,0)</f>
        <v>0</v>
      </c>
      <c r="D25" s="1808">
        <f>OR_Eingabe!$J$35</f>
        <v>0</v>
      </c>
      <c r="E25" s="575"/>
      <c r="F25" s="575"/>
      <c r="G25" s="1805"/>
      <c r="H25" s="22"/>
      <c r="I25" s="22"/>
      <c r="J25" s="22"/>
      <c r="K25" s="1805"/>
      <c r="L25" s="1805"/>
      <c r="M25" s="1805"/>
      <c r="N25" s="1805"/>
      <c r="O25" s="1805"/>
      <c r="P25" s="1805"/>
      <c r="Q25" s="1805"/>
      <c r="R25" s="1805"/>
      <c r="S25" s="1805"/>
      <c r="T25" s="1805"/>
      <c r="U25" s="1805"/>
      <c r="V25" s="1805"/>
      <c r="W25" s="1805"/>
      <c r="X25" s="1805"/>
      <c r="Y25" s="1805"/>
      <c r="Z25" s="1805"/>
      <c r="AA25" s="1805"/>
      <c r="AB25" s="1805"/>
      <c r="AC25" s="1805"/>
      <c r="AD25" s="1805"/>
      <c r="AE25" s="22"/>
      <c r="AF25" s="22"/>
      <c r="AG25" s="22"/>
      <c r="AH25" s="22"/>
      <c r="AI25" s="22"/>
      <c r="AJ25" s="22"/>
    </row>
    <row r="26" spans="1:36" ht="15.75" thickBot="1" x14ac:dyDescent="0.3">
      <c r="A26" s="1807" t="s">
        <v>4891</v>
      </c>
      <c r="B26" s="1806" t="str">
        <f>IF(ROUND(B$25,0)&lt;=VLOOKUP($A$22&amp;"-"&amp;B$24&amp;"-"&amp;$C$23&amp;"-"&amp;"A",$A$45:$F$284,$F$43,FALSE),"A",IF(ROUND(B$25,0)&lt;=VLOOKUP($A$22&amp;"-"&amp;B$24&amp;"-"&amp;$C$23&amp;"-"&amp;"B",$A$45:$F$284,$F$43,FALSE),"B",IF(ROUND(B$25,0)&lt;=VLOOKUP($A$22&amp;"-"&amp;B$24&amp;"-"&amp;$C$23&amp;"-"&amp;"C",$A$45:$F$284,$F$43,FALSE),"C",IF(ROUND(B$25,0)&lt;=VLOOKUP($A$22&amp;"-"&amp;B$24&amp;"-"&amp;$C$23&amp;"-"&amp;"D",$A$45:$F$284,$F$43,FALSE),"D","E"))))</f>
        <v>A</v>
      </c>
      <c r="C26" s="1806" t="str">
        <f>IF(ROUND(C$25,0)&lt;=VLOOKUP($A$22&amp;"-"&amp;C$24&amp;"-"&amp;$C$23&amp;"-"&amp;"A",$A$45:$F$284,$F$43,FALSE),"A",IF(ROUND(C$25,0)&lt;=VLOOKUP($A$22&amp;"-"&amp;C$24&amp;"-"&amp;$C$23&amp;"-"&amp;"B",$A$45:$F$284,$F$43,FALSE),"B",IF(ROUND(C$25,0)&lt;=VLOOKUP($A$22&amp;"-"&amp;C$24&amp;"-"&amp;$C$23&amp;"-"&amp;"C",$A$45:$F$284,$F$43,FALSE),"C",IF(ROUND(C$25,0)&lt;=VLOOKUP($A$22&amp;"-"&amp;C$24&amp;"-"&amp;$C$23&amp;"-"&amp;"D",$A$45:$F$284,$F$43,FALSE),"D","E"))))</f>
        <v>A</v>
      </c>
      <c r="D26" s="1806" t="str">
        <f>IF(ROUND(D$25,0)&lt;=VLOOKUP($A$22&amp;"-"&amp;D$24&amp;"-"&amp;$C$23&amp;"-"&amp;"A",$A$45:$F$284,$F$43,FALSE),"A",IF(ROUND(D$25,0)&lt;=VLOOKUP($A$22&amp;"-"&amp;D$24&amp;"-"&amp;$C$23&amp;"-"&amp;"B",$A$45:$F$284,$F$43,FALSE),"B",IF(ROUND(D$25,0)&lt;=VLOOKUP($A$22&amp;"-"&amp;D$24&amp;"-"&amp;$C$23&amp;"-"&amp;"C",$A$45:$F$284,$F$43,FALSE),"C",IF(ROUND(D$25,0)&lt;=VLOOKUP($A$22&amp;"-"&amp;D$24&amp;"-"&amp;$C$23&amp;"-"&amp;"D",$A$45:$F$284,$F$43,FALSE),"D","E"))))</f>
        <v>A</v>
      </c>
      <c r="E26" s="575"/>
      <c r="F26" s="575"/>
      <c r="G26" s="1805"/>
      <c r="H26" s="22"/>
      <c r="I26" s="22"/>
      <c r="J26" s="22"/>
      <c r="K26" s="1805"/>
      <c r="L26" s="1805"/>
      <c r="M26" s="1805"/>
      <c r="N26" s="1805"/>
      <c r="O26" s="1805"/>
      <c r="P26" s="1805"/>
      <c r="Q26" s="1805"/>
      <c r="R26" s="1805"/>
      <c r="S26" s="1805"/>
      <c r="T26" s="1805"/>
      <c r="U26" s="1805"/>
      <c r="V26" s="1805"/>
      <c r="W26" s="1805"/>
      <c r="X26" s="1805"/>
      <c r="Y26" s="1805"/>
      <c r="Z26" s="1805"/>
      <c r="AA26" s="1805"/>
      <c r="AB26" s="1805"/>
      <c r="AC26" s="1805"/>
      <c r="AD26" s="1805"/>
      <c r="AE26" s="22"/>
      <c r="AF26" s="22"/>
      <c r="AG26" s="22"/>
      <c r="AH26" s="22"/>
      <c r="AI26" s="22"/>
      <c r="AJ26" s="22"/>
    </row>
    <row r="27" spans="1:36" x14ac:dyDescent="0.2">
      <c r="E27" s="575"/>
      <c r="F27" s="575"/>
      <c r="G27" s="1805"/>
      <c r="H27" s="22"/>
      <c r="I27" s="22"/>
      <c r="J27" s="22"/>
      <c r="K27" s="1805"/>
      <c r="L27" s="1805"/>
      <c r="M27" s="1805"/>
      <c r="N27" s="1805"/>
      <c r="O27" s="1805"/>
      <c r="P27" s="1805"/>
      <c r="Q27" s="1805"/>
      <c r="R27" s="1805"/>
      <c r="S27" s="1805"/>
      <c r="T27" s="1805"/>
      <c r="U27" s="1805"/>
      <c r="V27" s="1805"/>
      <c r="W27" s="1805"/>
      <c r="X27" s="1805"/>
      <c r="Y27" s="1805"/>
      <c r="Z27" s="1805"/>
      <c r="AA27" s="1805"/>
      <c r="AB27" s="1805"/>
      <c r="AC27" s="1805"/>
      <c r="AD27" s="1805"/>
      <c r="AE27" s="22"/>
      <c r="AF27" s="22"/>
      <c r="AG27" s="22"/>
      <c r="AH27" s="22"/>
      <c r="AI27" s="22"/>
      <c r="AJ27" s="22"/>
    </row>
    <row r="28" spans="1:36" ht="15" x14ac:dyDescent="0.25">
      <c r="A28" s="1813" t="s">
        <v>3650</v>
      </c>
      <c r="E28" s="575"/>
      <c r="F28" s="575"/>
      <c r="G28" s="1805"/>
      <c r="H28" s="22"/>
      <c r="I28" s="22"/>
      <c r="J28" s="22"/>
      <c r="K28" s="1805"/>
      <c r="L28" s="1805"/>
      <c r="M28" s="1805"/>
      <c r="N28" s="1805"/>
      <c r="O28" s="1805"/>
      <c r="P28" s="1805"/>
      <c r="Q28" s="1805"/>
      <c r="R28" s="1805"/>
      <c r="S28" s="1805"/>
      <c r="T28" s="1805"/>
      <c r="U28" s="1805"/>
      <c r="V28" s="1805"/>
      <c r="W28" s="1805"/>
      <c r="X28" s="1805"/>
      <c r="Y28" s="1805"/>
      <c r="Z28" s="1805"/>
      <c r="AA28" s="1805"/>
      <c r="AB28" s="1805"/>
      <c r="AC28" s="1805"/>
      <c r="AD28" s="1805"/>
      <c r="AE28" s="22"/>
      <c r="AF28" s="22"/>
      <c r="AG28" s="22"/>
      <c r="AH28" s="22"/>
      <c r="AI28" s="22"/>
      <c r="AJ28" s="22"/>
    </row>
    <row r="29" spans="1:36" ht="15" thickBot="1" x14ac:dyDescent="0.25">
      <c r="A29" s="1812">
        <f>OR_Eingabe!$M$33</f>
        <v>4</v>
      </c>
      <c r="B29" s="1811" t="str">
        <f>VLOOKUP($A$29,Bodenarten!$B$10:$C$17,Bodenarten!$C$2,FALSE)</f>
        <v>sandiger bis schluffiger Lehm, sL - uL</v>
      </c>
      <c r="C29" s="4" t="str">
        <f>VLOOKUP(B29,$K$14:$L$20,2,FALSE)</f>
        <v>mittel</v>
      </c>
      <c r="D29" s="958"/>
      <c r="E29" s="575"/>
      <c r="F29" s="575"/>
      <c r="G29" s="1805"/>
      <c r="H29" s="22"/>
      <c r="I29" s="22"/>
      <c r="J29" s="22"/>
      <c r="K29" s="1805"/>
      <c r="L29" s="1805"/>
      <c r="M29" s="1805"/>
      <c r="N29" s="1805"/>
      <c r="O29" s="1805"/>
      <c r="P29" s="1805"/>
      <c r="Q29" s="1805"/>
      <c r="R29" s="1805"/>
      <c r="S29" s="1805"/>
      <c r="T29" s="1805"/>
      <c r="U29" s="1805"/>
      <c r="V29" s="1805"/>
      <c r="W29" s="1805"/>
      <c r="X29" s="1805"/>
      <c r="Y29" s="1805"/>
      <c r="Z29" s="1805"/>
      <c r="AA29" s="1805"/>
      <c r="AB29" s="1805"/>
      <c r="AC29" s="1805"/>
      <c r="AD29" s="1805"/>
      <c r="AE29" s="22"/>
      <c r="AF29" s="22"/>
      <c r="AG29" s="22"/>
      <c r="AH29" s="22"/>
      <c r="AI29" s="22"/>
      <c r="AJ29" s="22"/>
    </row>
    <row r="30" spans="1:36" ht="15.75" thickBot="1" x14ac:dyDescent="0.3">
      <c r="A30" s="1810"/>
      <c r="B30" s="1809" t="s">
        <v>3807</v>
      </c>
      <c r="C30" s="1809" t="s">
        <v>3808</v>
      </c>
      <c r="D30" s="1809" t="s">
        <v>25</v>
      </c>
      <c r="E30" s="575"/>
      <c r="F30" s="575"/>
      <c r="G30" s="1805"/>
      <c r="H30" s="22"/>
      <c r="I30" s="22"/>
      <c r="J30" s="22"/>
      <c r="K30" s="1805"/>
      <c r="L30" s="1805"/>
      <c r="M30" s="1805"/>
      <c r="N30" s="1805"/>
      <c r="O30" s="1805"/>
      <c r="P30" s="1805"/>
      <c r="Q30" s="1805"/>
      <c r="R30" s="1805"/>
      <c r="S30" s="1805"/>
      <c r="T30" s="1805"/>
      <c r="U30" s="1805"/>
      <c r="V30" s="1805"/>
      <c r="W30" s="1805"/>
      <c r="X30" s="1805"/>
      <c r="Y30" s="1805"/>
      <c r="Z30" s="1805"/>
      <c r="AA30" s="1805"/>
      <c r="AB30" s="1805"/>
      <c r="AC30" s="1805"/>
      <c r="AD30" s="1805"/>
      <c r="AE30" s="22"/>
      <c r="AF30" s="22"/>
      <c r="AG30" s="22"/>
      <c r="AH30" s="22"/>
      <c r="AI30" s="22"/>
      <c r="AJ30" s="22"/>
    </row>
    <row r="31" spans="1:36" ht="15" thickBot="1" x14ac:dyDescent="0.25">
      <c r="A31" s="958"/>
      <c r="B31" s="1808">
        <f>OR_Eingabe!$H$35</f>
        <v>0</v>
      </c>
      <c r="C31" s="1808">
        <f>ROUND(OR_Eingabe!$I$35,0)</f>
        <v>0</v>
      </c>
      <c r="D31" s="1808">
        <f>ROUND(OR_Eingabe!$J$35,0)</f>
        <v>0</v>
      </c>
      <c r="E31" s="575"/>
      <c r="F31" s="575"/>
      <c r="G31" s="1805"/>
      <c r="H31" s="22"/>
      <c r="I31" s="22"/>
      <c r="J31" s="22"/>
      <c r="K31" s="1805"/>
      <c r="L31" s="1805"/>
      <c r="M31" s="1805"/>
      <c r="N31" s="1805"/>
      <c r="O31" s="1805"/>
      <c r="P31" s="1805"/>
      <c r="Q31" s="1805"/>
      <c r="R31" s="1805"/>
      <c r="S31" s="1805"/>
      <c r="T31" s="1805"/>
      <c r="U31" s="1805"/>
      <c r="V31" s="1805"/>
      <c r="W31" s="1805"/>
      <c r="X31" s="1805"/>
      <c r="Y31" s="1805"/>
      <c r="Z31" s="1805"/>
      <c r="AA31" s="1805"/>
      <c r="AB31" s="1805"/>
      <c r="AC31" s="1805"/>
      <c r="AD31" s="1805"/>
      <c r="AE31" s="22"/>
      <c r="AF31" s="22"/>
      <c r="AG31" s="22"/>
      <c r="AH31" s="22"/>
      <c r="AI31" s="22"/>
      <c r="AJ31" s="22"/>
    </row>
    <row r="32" spans="1:36" ht="15.75" thickBot="1" x14ac:dyDescent="0.3">
      <c r="A32" s="1807" t="s">
        <v>4891</v>
      </c>
      <c r="B32" s="1806" t="str">
        <f>IF(ROUND(B$31,0)&lt;=VLOOKUP($A$28&amp;"-"&amp;B$30&amp;"-"&amp;$C$29&amp;"-"&amp;"A",$A$45:$F$284,$F$43,FALSE),"A",IF(ROUND(B$31,0)&lt;=VLOOKUP($A$28&amp;"-"&amp;B$30&amp;"-"&amp;$C$29&amp;"-"&amp;"B",$A$45:$F$284,$F$43,FALSE),"B",IF(ROUND(B$31,0)&lt;=VLOOKUP($A$28&amp;"-"&amp;B$30&amp;"-"&amp;$C$29&amp;"-"&amp;"C",$A$45:$F$284,$F$43,FALSE),"C",IF(ROUND(B$31,0)&lt;=VLOOKUP($A$28&amp;"-"&amp;B$30&amp;"-"&amp;$C$29&amp;"-"&amp;"D",$A$45:$F$284,$F$43,FALSE),"D","E"))))</f>
        <v>A</v>
      </c>
      <c r="C32" s="1806" t="str">
        <f>IF(ROUND(C$31,0)&lt;=VLOOKUP($A$28&amp;"-"&amp;C$30&amp;"-"&amp;$C$29&amp;"-"&amp;"A",$A$45:$F$284,$F$43,FALSE),"A",IF(ROUND(C$31,0)&lt;=VLOOKUP($A$28&amp;"-"&amp;C$30&amp;"-"&amp;$C$29&amp;"-"&amp;"B",$A$45:$F$284,$F$43,FALSE),"B",IF(ROUND(C$31,0)&lt;=VLOOKUP($A$28&amp;"-"&amp;C$30&amp;"-"&amp;$C$29&amp;"-"&amp;"C",$A$45:$F$284,$F$43,FALSE),"C",IF(ROUND(C$31,0)&lt;=VLOOKUP($A$28&amp;"-"&amp;C$30&amp;"-"&amp;$C$29&amp;"-"&amp;"D",$A$45:$F$284,$F$43,FALSE),"D","E"))))</f>
        <v>A</v>
      </c>
      <c r="D32" s="1806" t="str">
        <f>IF(ROUND(D$31,0)&lt;=VLOOKUP($A$28&amp;"-"&amp;D$30&amp;"-"&amp;$C$29&amp;"-"&amp;"A",$A$45:$F$284,$F$43,FALSE),"A",IF(ROUND(D$31,0)&lt;=VLOOKUP($A$28&amp;"-"&amp;D$30&amp;"-"&amp;$C$29&amp;"-"&amp;"B",$A$45:$F$284,$F$43,FALSE),"B",IF(ROUND(D$31,0)&lt;=VLOOKUP($A$28&amp;"-"&amp;D$30&amp;"-"&amp;$C$29&amp;"-"&amp;"C",$A$45:$F$284,$F$43,FALSE),"C",IF(ROUND(D$31,0)&lt;=VLOOKUP($A$28&amp;"-"&amp;D$30&amp;"-"&amp;$C$29&amp;"-"&amp;"D",$A$45:$F$284,$F$43,FALSE),"D","E"))))</f>
        <v>A</v>
      </c>
      <c r="E32" s="575"/>
      <c r="F32" s="575"/>
      <c r="G32" s="1805"/>
      <c r="H32" s="22"/>
      <c r="I32" s="22"/>
      <c r="J32" s="22"/>
      <c r="K32" s="1805"/>
      <c r="L32" s="1805"/>
      <c r="M32" s="1805"/>
      <c r="N32" s="1805"/>
      <c r="O32" s="1805"/>
      <c r="P32" s="1805"/>
      <c r="Q32" s="1805"/>
      <c r="R32" s="1805"/>
      <c r="S32" s="1805"/>
      <c r="T32" s="1805"/>
      <c r="U32" s="1805"/>
      <c r="V32" s="1805"/>
      <c r="W32" s="1805"/>
      <c r="X32" s="1805"/>
      <c r="Y32" s="1805"/>
      <c r="Z32" s="1805"/>
      <c r="AA32" s="1805"/>
      <c r="AB32" s="1805"/>
      <c r="AC32" s="1805"/>
      <c r="AD32" s="1805"/>
      <c r="AE32" s="22"/>
      <c r="AF32" s="22"/>
      <c r="AG32" s="22"/>
      <c r="AH32" s="22"/>
      <c r="AI32" s="22"/>
      <c r="AJ32" s="22"/>
    </row>
    <row r="33" spans="1:36" x14ac:dyDescent="0.2">
      <c r="E33" s="575"/>
      <c r="F33" s="575"/>
      <c r="G33" s="1805"/>
      <c r="H33" s="22"/>
      <c r="I33" s="22"/>
      <c r="J33" s="22"/>
      <c r="K33" s="1805"/>
      <c r="L33" s="1805"/>
      <c r="M33" s="1805"/>
      <c r="N33" s="1805"/>
      <c r="O33" s="1805"/>
      <c r="P33" s="1805"/>
      <c r="Q33" s="1805"/>
      <c r="R33" s="1805"/>
      <c r="S33" s="1805"/>
      <c r="T33" s="1805"/>
      <c r="U33" s="1805"/>
      <c r="V33" s="1805"/>
      <c r="W33" s="1805"/>
      <c r="X33" s="1805"/>
      <c r="Y33" s="1805"/>
      <c r="Z33" s="1805"/>
      <c r="AA33" s="1805"/>
      <c r="AB33" s="1805"/>
      <c r="AC33" s="1805"/>
      <c r="AD33" s="1805"/>
      <c r="AE33" s="22"/>
      <c r="AF33" s="22"/>
      <c r="AG33" s="22"/>
      <c r="AH33" s="22"/>
      <c r="AI33" s="22"/>
      <c r="AJ33" s="22"/>
    </row>
    <row r="34" spans="1:36" ht="15" x14ac:dyDescent="0.25">
      <c r="A34" s="1813" t="s">
        <v>3415</v>
      </c>
      <c r="E34" s="575"/>
      <c r="F34" s="575"/>
      <c r="G34" s="1805"/>
      <c r="H34" s="22"/>
      <c r="I34" s="22"/>
      <c r="J34" s="22"/>
      <c r="K34" s="1805"/>
      <c r="L34" s="1805"/>
      <c r="M34" s="1805"/>
      <c r="N34" s="1805"/>
      <c r="O34" s="1805"/>
      <c r="P34" s="1805"/>
      <c r="Q34" s="1805"/>
      <c r="R34" s="1805"/>
      <c r="S34" s="1805"/>
      <c r="T34" s="1805"/>
      <c r="U34" s="1805"/>
      <c r="V34" s="1805"/>
      <c r="W34" s="1805"/>
      <c r="X34" s="1805"/>
      <c r="Y34" s="1805"/>
      <c r="Z34" s="1805"/>
      <c r="AA34" s="1805"/>
      <c r="AB34" s="1805"/>
      <c r="AC34" s="1805"/>
      <c r="AD34" s="1805"/>
      <c r="AE34" s="22"/>
      <c r="AF34" s="22"/>
      <c r="AG34" s="22"/>
      <c r="AH34" s="22"/>
      <c r="AI34" s="22"/>
      <c r="AJ34" s="22"/>
    </row>
    <row r="35" spans="1:36" ht="15" thickBot="1" x14ac:dyDescent="0.25">
      <c r="A35" s="1812">
        <f>AB_Eingabe!M40</f>
        <v>4</v>
      </c>
      <c r="B35" s="1811" t="str">
        <f>VLOOKUP($A$35,Bodenarten!$B$10:$C$17,Bodenarten!$C$2,FALSE)</f>
        <v>sandiger bis schluffiger Lehm, sL - uL</v>
      </c>
      <c r="C35" s="4" t="str">
        <f>VLOOKUP(B35,$K$14:$L$20,2,FALSE)</f>
        <v>mittel</v>
      </c>
      <c r="D35" s="958"/>
      <c r="E35" s="575"/>
      <c r="F35" s="575"/>
      <c r="G35" s="1805"/>
      <c r="H35" s="22"/>
      <c r="I35" s="22"/>
      <c r="J35" s="22"/>
      <c r="K35" s="1805"/>
      <c r="L35" s="1805"/>
      <c r="M35" s="1805"/>
      <c r="N35" s="1805"/>
      <c r="O35" s="1805"/>
      <c r="P35" s="1805"/>
      <c r="Q35" s="1805"/>
      <c r="R35" s="1805"/>
      <c r="S35" s="1805"/>
      <c r="T35" s="1805"/>
      <c r="U35" s="1805"/>
      <c r="V35" s="1805"/>
      <c r="W35" s="1805"/>
      <c r="X35" s="1805"/>
      <c r="Y35" s="1805"/>
      <c r="Z35" s="1805"/>
      <c r="AA35" s="1805"/>
      <c r="AB35" s="1805"/>
      <c r="AC35" s="1805"/>
      <c r="AD35" s="1805"/>
      <c r="AE35" s="22"/>
      <c r="AF35" s="22"/>
      <c r="AG35" s="22"/>
      <c r="AH35" s="22"/>
      <c r="AI35" s="22"/>
      <c r="AJ35" s="22"/>
    </row>
    <row r="36" spans="1:36" ht="15.75" thickBot="1" x14ac:dyDescent="0.3">
      <c r="A36" s="1810"/>
      <c r="B36" s="1809" t="s">
        <v>3807</v>
      </c>
      <c r="C36" s="1809" t="s">
        <v>3808</v>
      </c>
      <c r="D36" s="1809" t="s">
        <v>25</v>
      </c>
      <c r="E36" s="575"/>
      <c r="F36" s="575"/>
      <c r="G36" s="1805"/>
      <c r="H36" s="22"/>
      <c r="I36" s="22"/>
      <c r="J36" s="22"/>
      <c r="K36" s="1805"/>
      <c r="L36" s="1805"/>
      <c r="M36" s="1805"/>
      <c r="N36" s="1805"/>
      <c r="O36" s="1805"/>
      <c r="P36" s="1805"/>
      <c r="Q36" s="1805"/>
      <c r="R36" s="1805"/>
      <c r="S36" s="1805"/>
      <c r="T36" s="1805"/>
      <c r="U36" s="1805"/>
      <c r="V36" s="1805"/>
      <c r="W36" s="1805"/>
      <c r="X36" s="1805"/>
      <c r="Y36" s="1805"/>
      <c r="Z36" s="1805"/>
      <c r="AA36" s="1805"/>
      <c r="AB36" s="1805"/>
      <c r="AC36" s="1805"/>
      <c r="AD36" s="1805"/>
      <c r="AE36" s="22"/>
      <c r="AF36" s="22"/>
      <c r="AG36" s="22"/>
      <c r="AH36" s="22"/>
      <c r="AI36" s="22"/>
      <c r="AJ36" s="22"/>
    </row>
    <row r="37" spans="1:36" ht="15" thickBot="1" x14ac:dyDescent="0.25">
      <c r="A37" s="958"/>
      <c r="B37" s="1808">
        <f>ROUND(AB_Eingabe!H42,0)</f>
        <v>0</v>
      </c>
      <c r="C37" s="1808">
        <f>IF(AB_Eingabe!$I$42&lt;8,ROUNDDOWN(AB_Eingabe!$I$42,0),ROUND(AB_Eingabe!$I$42,0))</f>
        <v>0</v>
      </c>
      <c r="D37" s="1808">
        <f>ROUND(AB_Eingabe!$J$42,0)</f>
        <v>0</v>
      </c>
      <c r="E37" s="575"/>
      <c r="F37" s="575"/>
      <c r="G37" s="1805"/>
      <c r="H37" s="22"/>
      <c r="I37" s="22"/>
      <c r="J37" s="22"/>
      <c r="K37" s="1805"/>
      <c r="L37" s="1805"/>
      <c r="M37" s="1805"/>
      <c r="N37" s="1805"/>
      <c r="O37" s="1805"/>
      <c r="P37" s="1805"/>
      <c r="Q37" s="1805"/>
      <c r="R37" s="1805"/>
      <c r="S37" s="1805"/>
      <c r="T37" s="1805"/>
      <c r="U37" s="1805"/>
      <c r="V37" s="1805"/>
      <c r="W37" s="1805"/>
      <c r="X37" s="1805"/>
      <c r="Y37" s="1805"/>
      <c r="Z37" s="1805"/>
      <c r="AA37" s="1805"/>
      <c r="AB37" s="1805"/>
      <c r="AC37" s="1805"/>
      <c r="AD37" s="1805"/>
      <c r="AE37" s="22"/>
      <c r="AF37" s="22"/>
      <c r="AG37" s="22"/>
      <c r="AH37" s="22"/>
      <c r="AI37" s="22"/>
      <c r="AJ37" s="22"/>
    </row>
    <row r="38" spans="1:36" ht="15.75" thickBot="1" x14ac:dyDescent="0.3">
      <c r="A38" s="1807" t="s">
        <v>4891</v>
      </c>
      <c r="B38" s="1806" t="str">
        <f>IF(ROUND(B$37,0)&lt;=VLOOKUP($A$34&amp;"-"&amp;B$36&amp;"-"&amp;$C$35&amp;"-"&amp;"A",$A$45:$F$284,$F$43,FALSE),"A",IF(ROUND(B$37,0)&lt;=VLOOKUP($A$34&amp;"-"&amp;B$36&amp;"-"&amp;$C$35&amp;"-"&amp;"B",$A$45:$F$284,$F$43,FALSE),"B",IF(ROUND(B$37,0)&lt;=VLOOKUP($A$34&amp;"-"&amp;B$36&amp;"-"&amp;$C$35&amp;"-"&amp;"C",$A$45:$F$284,$F$43,FALSE),"C",IF(ROUND(B$37,0)&lt;=VLOOKUP($A$34&amp;"-"&amp;B$36&amp;"-"&amp;$C$35&amp;"-"&amp;"D",$A$45:$F$284,$F$43,FALSE),"D","E"))))</f>
        <v>A</v>
      </c>
      <c r="C38" s="1806" t="str">
        <f>IF(ROUND(C$37,0)&lt;=VLOOKUP($A$34&amp;"-"&amp;C$36&amp;"-"&amp;$C$35&amp;"-"&amp;"A",$A$45:$F$284,$F$43,FALSE),"A",IF(ROUND(C$37,0)&lt;=VLOOKUP($A$34&amp;"-"&amp;C$36&amp;"-"&amp;$C$35&amp;"-"&amp;"B",$A$45:$F$284,$F$43,FALSE),"B",IF(ROUND(C$37,0)&lt;=VLOOKUP($A$34&amp;"-"&amp;C$36&amp;"-"&amp;$C$35&amp;"-"&amp;"C",$A$45:$F$284,$F$43,FALSE),"C",IF(ROUND(C$37,0)&lt;=VLOOKUP($A$34&amp;"-"&amp;C$36&amp;"-"&amp;$C$35&amp;"-"&amp;"D",$A$45:$F$284,$F$43,FALSE),"D","E"))))</f>
        <v>A</v>
      </c>
      <c r="D38" s="1806" t="str">
        <f>IF(ROUND(D$37,0)&lt;=VLOOKUP($A$34&amp;"-"&amp;D$36&amp;"-"&amp;$C$35&amp;"-"&amp;"A",$A$45:$F$284,$F$43,FALSE),"A",IF(ROUND(D$37,0)&lt;=VLOOKUP($A$34&amp;"-"&amp;D$36&amp;"-"&amp;$C$35&amp;"-"&amp;"B",$A$45:$F$284,$F$43,FALSE),"B",IF(ROUND(D$37,0)&lt;=VLOOKUP($A$34&amp;"-"&amp;D$36&amp;"-"&amp;$C$35&amp;"-"&amp;"C",$A$45:$F$284,$F$43,FALSE),"C",IF(ROUND(D$37,0)&lt;=VLOOKUP($A$34&amp;"-"&amp;D$36&amp;"-"&amp;$C$35&amp;"-"&amp;"D",$A$45:$F$284,$F$43,FALSE),"D","E"))))</f>
        <v>A</v>
      </c>
      <c r="E38" s="575"/>
      <c r="F38" s="575"/>
      <c r="G38" s="1805"/>
      <c r="H38" s="22"/>
      <c r="I38" s="22"/>
      <c r="J38" s="22"/>
      <c r="K38" s="1805"/>
      <c r="L38" s="1805"/>
      <c r="M38" s="1805"/>
      <c r="N38" s="1805"/>
      <c r="O38" s="1805"/>
      <c r="P38" s="1805"/>
      <c r="Q38" s="1805"/>
      <c r="R38" s="1805"/>
      <c r="S38" s="1805"/>
      <c r="T38" s="1805"/>
      <c r="U38" s="1805"/>
      <c r="V38" s="1805"/>
      <c r="W38" s="1805"/>
      <c r="X38" s="1805"/>
      <c r="Y38" s="1805"/>
      <c r="Z38" s="1805"/>
      <c r="AA38" s="1805"/>
      <c r="AB38" s="1805"/>
      <c r="AC38" s="1805"/>
      <c r="AD38" s="1805"/>
      <c r="AE38" s="22"/>
      <c r="AF38" s="22"/>
      <c r="AG38" s="22"/>
      <c r="AH38" s="22"/>
      <c r="AI38" s="22"/>
      <c r="AJ38" s="22"/>
    </row>
    <row r="39" spans="1:36" x14ac:dyDescent="0.2">
      <c r="A39" s="575"/>
      <c r="B39" s="575"/>
      <c r="C39" s="575"/>
      <c r="D39" s="575"/>
      <c r="E39" s="575"/>
      <c r="F39" s="575"/>
      <c r="G39" s="1805"/>
      <c r="H39" s="22"/>
      <c r="I39" s="22"/>
      <c r="J39" s="22"/>
      <c r="K39" s="1805"/>
      <c r="L39" s="1805"/>
      <c r="M39" s="1805"/>
      <c r="N39" s="1805"/>
      <c r="O39" s="1805"/>
      <c r="P39" s="1805"/>
      <c r="Q39" s="1805"/>
      <c r="R39" s="1805"/>
      <c r="S39" s="1805"/>
      <c r="T39" s="1805"/>
      <c r="U39" s="1805"/>
      <c r="V39" s="1805"/>
      <c r="W39" s="1805"/>
      <c r="X39" s="1805"/>
      <c r="Y39" s="1805"/>
      <c r="Z39" s="1805"/>
      <c r="AA39" s="1805"/>
      <c r="AB39" s="1805"/>
      <c r="AC39" s="1805"/>
      <c r="AD39" s="1805"/>
      <c r="AE39" s="22"/>
      <c r="AF39" s="22"/>
      <c r="AG39" s="22"/>
      <c r="AH39" s="22"/>
      <c r="AI39" s="22"/>
      <c r="AJ39" s="22"/>
    </row>
    <row r="40" spans="1:36" x14ac:dyDescent="0.2">
      <c r="A40" s="1802" t="s">
        <v>4021</v>
      </c>
      <c r="B40" s="1802"/>
      <c r="C40" s="1802"/>
      <c r="D40" s="1802"/>
      <c r="E40" s="613"/>
      <c r="F40" s="613"/>
      <c r="G40" s="588"/>
      <c r="H40" s="569"/>
      <c r="I40" s="569"/>
      <c r="J40" s="569"/>
      <c r="K40" s="588"/>
      <c r="L40" s="588"/>
      <c r="M40" s="588"/>
      <c r="N40" s="588"/>
      <c r="O40" s="588"/>
      <c r="P40" s="588"/>
      <c r="Q40" s="588"/>
      <c r="R40" s="588"/>
      <c r="S40" s="588"/>
      <c r="T40" s="588"/>
      <c r="U40" s="588"/>
      <c r="V40" s="588"/>
      <c r="W40" s="588"/>
      <c r="X40" s="588"/>
      <c r="Y40" s="588"/>
      <c r="Z40" s="588"/>
      <c r="AA40" s="588"/>
      <c r="AB40" s="588"/>
      <c r="AC40" s="588"/>
      <c r="AD40" s="588"/>
      <c r="AE40" s="569"/>
      <c r="AF40" s="569"/>
      <c r="AG40" s="569"/>
      <c r="AH40" s="569"/>
      <c r="AI40" s="569"/>
      <c r="AJ40" s="569"/>
    </row>
    <row r="41" spans="1:36" x14ac:dyDescent="0.2">
      <c r="A41" s="22"/>
      <c r="B41" s="22"/>
      <c r="C41" s="22"/>
      <c r="D41" s="22"/>
      <c r="E41" s="575"/>
      <c r="F41" s="575"/>
      <c r="G41" s="1805"/>
      <c r="H41" s="22"/>
      <c r="I41" s="22"/>
      <c r="J41" s="22"/>
      <c r="K41" s="1805"/>
      <c r="L41" s="1805"/>
      <c r="M41" s="1805"/>
      <c r="N41" s="1805"/>
      <c r="O41" s="1805"/>
      <c r="P41" s="1805"/>
      <c r="Q41" s="1805"/>
      <c r="R41" s="1805"/>
      <c r="S41" s="1805"/>
      <c r="T41" s="1805"/>
      <c r="U41" s="1805"/>
      <c r="V41" s="1805"/>
      <c r="W41" s="1805"/>
      <c r="X41" s="1805"/>
      <c r="Y41" s="1805"/>
      <c r="Z41" s="1805"/>
      <c r="AA41" s="1805"/>
      <c r="AB41" s="1805"/>
      <c r="AC41" s="1805"/>
      <c r="AD41" s="1805"/>
      <c r="AE41" s="22"/>
      <c r="AF41" s="22"/>
      <c r="AG41" s="22"/>
      <c r="AH41" s="22"/>
      <c r="AI41" s="22"/>
      <c r="AJ41" s="22"/>
    </row>
    <row r="42" spans="1:36" x14ac:dyDescent="0.2">
      <c r="A42" s="22"/>
      <c r="B42" s="22"/>
      <c r="C42" s="22"/>
      <c r="D42" s="22"/>
      <c r="E42" s="575"/>
      <c r="F42" s="575"/>
      <c r="G42" s="1805"/>
      <c r="H42" s="22"/>
      <c r="I42" s="22"/>
      <c r="J42" s="22"/>
      <c r="K42" s="1805"/>
      <c r="L42" s="1805"/>
      <c r="M42" s="1805"/>
      <c r="N42" s="1805"/>
      <c r="O42" s="1805"/>
      <c r="P42" s="1805"/>
      <c r="Q42" s="1805"/>
      <c r="R42" s="1805"/>
      <c r="S42" s="1805"/>
      <c r="T42" s="1805"/>
      <c r="U42" s="1805"/>
      <c r="V42" s="1805"/>
      <c r="W42" s="1805"/>
      <c r="X42" s="1805"/>
      <c r="Y42" s="1805"/>
      <c r="Z42" s="1805"/>
      <c r="AA42" s="1805"/>
      <c r="AB42" s="1805"/>
      <c r="AC42" s="1805"/>
      <c r="AD42" s="1805"/>
      <c r="AE42" s="22"/>
      <c r="AF42" s="22"/>
      <c r="AG42" s="22"/>
      <c r="AH42" s="22"/>
      <c r="AI42" s="22"/>
      <c r="AJ42" s="22"/>
    </row>
    <row r="43" spans="1:36" x14ac:dyDescent="0.2">
      <c r="A43" s="4"/>
      <c r="B43" s="4"/>
      <c r="C43" s="4"/>
      <c r="D43" s="4"/>
      <c r="E43" s="4"/>
      <c r="F43" s="4">
        <f>COLUMN()</f>
        <v>6</v>
      </c>
      <c r="G43" s="1805"/>
      <c r="H43" s="22"/>
      <c r="I43" s="22"/>
      <c r="J43" s="22"/>
      <c r="K43" s="1805"/>
      <c r="L43" s="1805"/>
      <c r="M43" s="1805"/>
      <c r="N43" s="1805"/>
      <c r="O43" s="1805"/>
      <c r="P43" s="1805"/>
      <c r="Q43" s="1805"/>
      <c r="R43" s="1805"/>
      <c r="S43" s="1805"/>
      <c r="T43" s="1805"/>
      <c r="U43" s="1805"/>
      <c r="V43" s="1805"/>
      <c r="W43" s="1805"/>
      <c r="X43" s="1805"/>
      <c r="Y43" s="1805"/>
      <c r="Z43" s="1805"/>
      <c r="AA43" s="1805"/>
      <c r="AB43" s="1805"/>
      <c r="AC43" s="1805"/>
      <c r="AD43" s="1805"/>
      <c r="AE43" s="22"/>
      <c r="AF43" s="22"/>
      <c r="AG43" s="22"/>
      <c r="AH43" s="22"/>
      <c r="AI43" s="22"/>
      <c r="AJ43" s="22"/>
    </row>
    <row r="44" spans="1:36" x14ac:dyDescent="0.2">
      <c r="A44" s="4" t="s">
        <v>4890</v>
      </c>
      <c r="B44" s="4" t="s">
        <v>3449</v>
      </c>
      <c r="C44" s="4" t="s">
        <v>4889</v>
      </c>
      <c r="D44" s="4" t="s">
        <v>4042</v>
      </c>
      <c r="E44" s="4" t="s">
        <v>3806</v>
      </c>
      <c r="F44" s="15" t="s">
        <v>4731</v>
      </c>
      <c r="G44" s="1805"/>
      <c r="H44" s="22"/>
      <c r="I44" s="22"/>
      <c r="J44" s="22"/>
      <c r="K44" s="1805"/>
      <c r="L44" s="1805"/>
      <c r="M44" s="1805"/>
      <c r="N44" s="1805"/>
      <c r="O44" s="1805"/>
      <c r="P44" s="1805"/>
      <c r="Q44" s="1805"/>
      <c r="R44" s="1805"/>
      <c r="S44" s="1805"/>
      <c r="T44" s="1805"/>
      <c r="U44" s="1805"/>
      <c r="V44" s="1805"/>
      <c r="W44" s="1805"/>
      <c r="X44" s="1805"/>
      <c r="Y44" s="1805"/>
      <c r="Z44" s="1805"/>
      <c r="AA44" s="1805"/>
      <c r="AB44" s="1805"/>
      <c r="AC44" s="1805"/>
      <c r="AD44" s="1805"/>
      <c r="AE44" s="22"/>
      <c r="AF44" s="22"/>
      <c r="AG44" s="22"/>
      <c r="AH44" s="22"/>
      <c r="AI44" s="22"/>
      <c r="AJ44" s="22"/>
    </row>
    <row r="45" spans="1:36" x14ac:dyDescent="0.2">
      <c r="A45" s="15" t="str">
        <f t="shared" ref="A45:A108" si="0">B45&amp;"-"&amp;C45&amp;"-"&amp;D45&amp;"-"&amp;E45</f>
        <v>Ackerland-K2O-leicht-A</v>
      </c>
      <c r="B45" s="15" t="s">
        <v>4888</v>
      </c>
      <c r="C45" s="15" t="s">
        <v>3808</v>
      </c>
      <c r="D45" s="15" t="s">
        <v>3635</v>
      </c>
      <c r="E45" s="15" t="s">
        <v>3330</v>
      </c>
      <c r="F45" s="15">
        <v>4</v>
      </c>
      <c r="G45" s="1805"/>
      <c r="H45" s="22"/>
      <c r="I45" s="22"/>
      <c r="J45" s="22"/>
      <c r="K45" s="1805"/>
      <c r="L45" s="1805"/>
      <c r="M45" s="1805"/>
      <c r="N45" s="1805"/>
      <c r="O45" s="1805"/>
      <c r="P45" s="1805"/>
      <c r="Q45" s="1805"/>
      <c r="R45" s="1805"/>
      <c r="S45" s="1805"/>
      <c r="T45" s="1805"/>
      <c r="U45" s="1805"/>
      <c r="V45" s="1805"/>
      <c r="W45" s="1805"/>
      <c r="X45" s="1805"/>
      <c r="Y45" s="1805"/>
      <c r="Z45" s="1805"/>
      <c r="AA45" s="1805"/>
      <c r="AB45" s="1805"/>
      <c r="AC45" s="1805"/>
      <c r="AD45" s="1805"/>
      <c r="AE45" s="22"/>
      <c r="AF45" s="22"/>
      <c r="AG45" s="22"/>
      <c r="AH45" s="22"/>
      <c r="AI45" s="22"/>
      <c r="AJ45" s="22"/>
    </row>
    <row r="46" spans="1:36" x14ac:dyDescent="0.2">
      <c r="A46" s="15" t="str">
        <f t="shared" si="0"/>
        <v>Ackerland-K2O-leicht-B</v>
      </c>
      <c r="B46" s="15" t="s">
        <v>4888</v>
      </c>
      <c r="C46" s="15" t="s">
        <v>3808</v>
      </c>
      <c r="D46" s="15" t="s">
        <v>3635</v>
      </c>
      <c r="E46" s="15" t="s">
        <v>3335</v>
      </c>
      <c r="F46" s="15">
        <v>9</v>
      </c>
      <c r="G46" s="1805"/>
      <c r="H46" s="22"/>
      <c r="I46" s="22"/>
      <c r="J46" s="22"/>
      <c r="K46" s="1805"/>
      <c r="L46" s="1805"/>
      <c r="M46" s="1805"/>
      <c r="N46" s="1805"/>
      <c r="O46" s="1805"/>
      <c r="P46" s="1805"/>
      <c r="Q46" s="1805"/>
      <c r="R46" s="1805"/>
      <c r="S46" s="1805"/>
      <c r="T46" s="1805"/>
      <c r="U46" s="1805"/>
      <c r="V46" s="1805"/>
      <c r="W46" s="1805"/>
      <c r="X46" s="1805"/>
      <c r="Y46" s="1805"/>
      <c r="Z46" s="1805"/>
      <c r="AA46" s="1805"/>
      <c r="AB46" s="1805"/>
      <c r="AC46" s="1805"/>
      <c r="AD46" s="1805"/>
      <c r="AE46" s="22"/>
      <c r="AF46" s="22"/>
      <c r="AG46" s="22"/>
      <c r="AH46" s="22"/>
      <c r="AI46" s="22"/>
      <c r="AJ46" s="22"/>
    </row>
    <row r="47" spans="1:36" x14ac:dyDescent="0.2">
      <c r="A47" s="15" t="str">
        <f t="shared" si="0"/>
        <v>Ackerland-K2O-leicht-C</v>
      </c>
      <c r="B47" s="15" t="s">
        <v>4888</v>
      </c>
      <c r="C47" s="15" t="s">
        <v>3808</v>
      </c>
      <c r="D47" s="15" t="s">
        <v>3635</v>
      </c>
      <c r="E47" s="15" t="s">
        <v>3336</v>
      </c>
      <c r="F47" s="15">
        <v>15</v>
      </c>
      <c r="G47" s="1805"/>
      <c r="H47" s="22"/>
      <c r="I47" s="22"/>
      <c r="J47" s="22"/>
      <c r="K47" s="1805"/>
      <c r="L47" s="1805"/>
      <c r="M47" s="1805"/>
      <c r="N47" s="1805"/>
      <c r="O47" s="1805"/>
      <c r="P47" s="1805"/>
      <c r="Q47" s="1805"/>
      <c r="R47" s="1805"/>
      <c r="S47" s="1805"/>
      <c r="T47" s="1805"/>
      <c r="U47" s="1805"/>
      <c r="V47" s="1805"/>
      <c r="W47" s="1805"/>
      <c r="X47" s="1805"/>
      <c r="Y47" s="1805"/>
      <c r="Z47" s="1805"/>
      <c r="AA47" s="1805"/>
      <c r="AB47" s="1805"/>
      <c r="AC47" s="1805"/>
      <c r="AD47" s="1805"/>
      <c r="AE47" s="22"/>
      <c r="AF47" s="22"/>
      <c r="AG47" s="22"/>
      <c r="AH47" s="22"/>
      <c r="AI47" s="22"/>
      <c r="AJ47" s="22"/>
    </row>
    <row r="48" spans="1:36" x14ac:dyDescent="0.2">
      <c r="A48" s="15" t="str">
        <f t="shared" si="0"/>
        <v>Ackerland-K2O-leicht-D</v>
      </c>
      <c r="B48" s="15" t="s">
        <v>4888</v>
      </c>
      <c r="C48" s="15" t="s">
        <v>3808</v>
      </c>
      <c r="D48" s="15" t="s">
        <v>3635</v>
      </c>
      <c r="E48" s="15" t="s">
        <v>3337</v>
      </c>
      <c r="F48" s="15">
        <v>25</v>
      </c>
      <c r="G48" s="1805"/>
      <c r="H48" s="22"/>
      <c r="I48" s="22"/>
      <c r="J48" s="22"/>
      <c r="K48" s="1805"/>
      <c r="L48" s="1805"/>
      <c r="M48" s="1805"/>
      <c r="N48" s="1805"/>
      <c r="O48" s="1805"/>
      <c r="P48" s="1805"/>
      <c r="Q48" s="1805"/>
      <c r="R48" s="1805"/>
      <c r="S48" s="1805"/>
      <c r="T48" s="1805"/>
      <c r="U48" s="1805"/>
      <c r="V48" s="1805"/>
      <c r="W48" s="1805"/>
      <c r="X48" s="1805"/>
      <c r="Y48" s="1805"/>
      <c r="Z48" s="1805"/>
      <c r="AA48" s="1805"/>
      <c r="AB48" s="1805"/>
      <c r="AC48" s="1805"/>
      <c r="AD48" s="1805"/>
      <c r="AE48" s="22"/>
      <c r="AF48" s="22"/>
      <c r="AG48" s="22"/>
      <c r="AH48" s="22"/>
      <c r="AI48" s="22"/>
      <c r="AJ48" s="22"/>
    </row>
    <row r="49" spans="1:36" x14ac:dyDescent="0.2">
      <c r="A49" s="15" t="str">
        <f t="shared" si="0"/>
        <v>Ackerland-K2O-mittel-A</v>
      </c>
      <c r="B49" s="15" t="s">
        <v>4888</v>
      </c>
      <c r="C49" s="15" t="s">
        <v>3808</v>
      </c>
      <c r="D49" s="15" t="s">
        <v>3453</v>
      </c>
      <c r="E49" s="15" t="s">
        <v>3330</v>
      </c>
      <c r="F49" s="15">
        <v>6</v>
      </c>
      <c r="G49" s="1805"/>
      <c r="H49" s="22"/>
      <c r="I49" s="22"/>
      <c r="J49" s="22"/>
      <c r="K49" s="1805"/>
      <c r="L49" s="1805"/>
      <c r="M49" s="1805"/>
      <c r="N49" s="1805"/>
      <c r="O49" s="1805"/>
      <c r="P49" s="1805"/>
      <c r="Q49" s="1805"/>
      <c r="R49" s="1805"/>
      <c r="S49" s="1805"/>
      <c r="T49" s="1805"/>
      <c r="U49" s="1805"/>
      <c r="V49" s="1805"/>
      <c r="W49" s="1805"/>
      <c r="X49" s="1805"/>
      <c r="Y49" s="1805"/>
      <c r="Z49" s="1805"/>
      <c r="AA49" s="1805"/>
      <c r="AB49" s="1805"/>
      <c r="AC49" s="1805"/>
      <c r="AD49" s="1805"/>
      <c r="AE49" s="22"/>
      <c r="AF49" s="22"/>
      <c r="AG49" s="22"/>
      <c r="AH49" s="22"/>
      <c r="AI49" s="22"/>
      <c r="AJ49" s="22"/>
    </row>
    <row r="50" spans="1:36" x14ac:dyDescent="0.2">
      <c r="A50" s="15" t="str">
        <f t="shared" si="0"/>
        <v>Ackerland-K2O-mittel-B</v>
      </c>
      <c r="B50" s="15" t="s">
        <v>4888</v>
      </c>
      <c r="C50" s="15" t="s">
        <v>3808</v>
      </c>
      <c r="D50" s="15" t="s">
        <v>3453</v>
      </c>
      <c r="E50" s="15" t="s">
        <v>3335</v>
      </c>
      <c r="F50" s="15">
        <v>14</v>
      </c>
      <c r="G50" s="1805"/>
      <c r="H50" s="22"/>
      <c r="I50" s="22"/>
      <c r="J50" s="22"/>
      <c r="K50" s="1805"/>
      <c r="L50" s="1805"/>
      <c r="M50" s="1805"/>
      <c r="N50" s="1805"/>
      <c r="O50" s="1805"/>
      <c r="P50" s="1805"/>
      <c r="Q50" s="1805"/>
      <c r="R50" s="1805"/>
      <c r="S50" s="1805"/>
      <c r="T50" s="1805"/>
      <c r="U50" s="1805"/>
      <c r="V50" s="1805"/>
      <c r="W50" s="1805"/>
      <c r="X50" s="1805"/>
      <c r="Y50" s="1805"/>
      <c r="Z50" s="1805"/>
      <c r="AA50" s="1805"/>
      <c r="AB50" s="1805"/>
      <c r="AC50" s="1805"/>
      <c r="AD50" s="1805"/>
      <c r="AE50" s="22"/>
      <c r="AF50" s="22"/>
      <c r="AG50" s="22"/>
      <c r="AH50" s="22"/>
      <c r="AI50" s="22"/>
      <c r="AJ50" s="22"/>
    </row>
    <row r="51" spans="1:36" x14ac:dyDescent="0.2">
      <c r="A51" s="15" t="str">
        <f t="shared" si="0"/>
        <v>Ackerland-K2O-mittel-C</v>
      </c>
      <c r="B51" s="15" t="s">
        <v>4888</v>
      </c>
      <c r="C51" s="15" t="s">
        <v>3808</v>
      </c>
      <c r="D51" s="15" t="s">
        <v>3453</v>
      </c>
      <c r="E51" s="15" t="s">
        <v>3336</v>
      </c>
      <c r="F51" s="15">
        <v>25</v>
      </c>
      <c r="G51" s="1805"/>
      <c r="H51" s="22"/>
      <c r="I51" s="22"/>
      <c r="J51" s="22"/>
      <c r="K51" s="1805"/>
      <c r="L51" s="1805"/>
      <c r="M51" s="1805"/>
      <c r="N51" s="1805"/>
      <c r="O51" s="1805"/>
      <c r="P51" s="1805"/>
      <c r="Q51" s="1805"/>
      <c r="R51" s="1805"/>
      <c r="S51" s="1805"/>
      <c r="T51" s="1805"/>
      <c r="U51" s="1805"/>
      <c r="V51" s="1805"/>
      <c r="W51" s="1805"/>
      <c r="X51" s="1805"/>
      <c r="Y51" s="1805"/>
      <c r="Z51" s="1805"/>
      <c r="AA51" s="1805"/>
      <c r="AB51" s="1805"/>
      <c r="AC51" s="1805"/>
      <c r="AD51" s="1805"/>
      <c r="AE51" s="22"/>
      <c r="AF51" s="22"/>
      <c r="AG51" s="22"/>
      <c r="AH51" s="22"/>
      <c r="AI51" s="22"/>
      <c r="AJ51" s="22"/>
    </row>
    <row r="52" spans="1:36" x14ac:dyDescent="0.2">
      <c r="A52" s="15" t="str">
        <f t="shared" si="0"/>
        <v>Ackerland-K2O-mittel-D</v>
      </c>
      <c r="B52" s="15" t="s">
        <v>4888</v>
      </c>
      <c r="C52" s="15" t="s">
        <v>3808</v>
      </c>
      <c r="D52" s="15" t="s">
        <v>3453</v>
      </c>
      <c r="E52" s="15" t="s">
        <v>3337</v>
      </c>
      <c r="F52" s="15">
        <v>35</v>
      </c>
      <c r="G52" s="1805"/>
      <c r="H52" s="22"/>
      <c r="I52" s="22"/>
      <c r="J52" s="22"/>
      <c r="K52" s="1805"/>
      <c r="L52" s="1805"/>
      <c r="M52" s="1805"/>
      <c r="N52" s="1805"/>
      <c r="O52" s="1805"/>
      <c r="P52" s="1805"/>
      <c r="Q52" s="1805"/>
      <c r="R52" s="1805"/>
      <c r="S52" s="1805"/>
      <c r="T52" s="1805"/>
      <c r="U52" s="1805"/>
      <c r="V52" s="1805"/>
      <c r="W52" s="1805"/>
      <c r="X52" s="1805"/>
      <c r="Y52" s="1805"/>
      <c r="Z52" s="1805"/>
      <c r="AA52" s="1805"/>
      <c r="AB52" s="1805"/>
      <c r="AC52" s="1805"/>
      <c r="AD52" s="1805"/>
      <c r="AE52" s="22"/>
      <c r="AF52" s="22"/>
      <c r="AG52" s="22"/>
      <c r="AH52" s="22"/>
      <c r="AI52" s="22"/>
      <c r="AJ52" s="22"/>
    </row>
    <row r="53" spans="1:36" x14ac:dyDescent="0.2">
      <c r="A53" s="15" t="str">
        <f t="shared" si="0"/>
        <v>Ackerland-K2O-Moor-A</v>
      </c>
      <c r="B53" s="15" t="s">
        <v>4888</v>
      </c>
      <c r="C53" s="15" t="s">
        <v>3808</v>
      </c>
      <c r="D53" s="15" t="s">
        <v>3369</v>
      </c>
      <c r="E53" s="15" t="s">
        <v>3330</v>
      </c>
      <c r="F53" s="15">
        <v>10</v>
      </c>
      <c r="G53" s="1805"/>
      <c r="H53" s="22"/>
      <c r="I53" s="22"/>
      <c r="J53" s="22"/>
      <c r="K53" s="1805"/>
      <c r="L53" s="1805"/>
      <c r="M53" s="1805"/>
      <c r="N53" s="1805"/>
      <c r="O53" s="1805"/>
      <c r="P53" s="1805"/>
      <c r="Q53" s="1805"/>
      <c r="R53" s="1805"/>
      <c r="S53" s="1805"/>
      <c r="T53" s="1805"/>
      <c r="U53" s="1805"/>
      <c r="V53" s="1805"/>
      <c r="W53" s="1805"/>
      <c r="X53" s="1805"/>
      <c r="Y53" s="1805"/>
      <c r="Z53" s="1805"/>
      <c r="AA53" s="1805"/>
      <c r="AB53" s="1805"/>
      <c r="AC53" s="1805"/>
      <c r="AD53" s="1805"/>
      <c r="AE53" s="22"/>
      <c r="AF53" s="22"/>
      <c r="AG53" s="22"/>
      <c r="AH53" s="22"/>
      <c r="AI53" s="22"/>
      <c r="AJ53" s="22"/>
    </row>
    <row r="54" spans="1:36" x14ac:dyDescent="0.2">
      <c r="A54" s="15" t="str">
        <f t="shared" si="0"/>
        <v>Ackerland-K2O-Moor-B</v>
      </c>
      <c r="B54" s="15" t="s">
        <v>4888</v>
      </c>
      <c r="C54" s="15" t="s">
        <v>3808</v>
      </c>
      <c r="D54" s="15" t="s">
        <v>3369</v>
      </c>
      <c r="E54" s="15" t="s">
        <v>3335</v>
      </c>
      <c r="F54" s="15">
        <v>20</v>
      </c>
      <c r="G54" s="1805"/>
      <c r="H54" s="22"/>
      <c r="I54" s="22"/>
      <c r="J54" s="22"/>
      <c r="K54" s="1805"/>
      <c r="L54" s="1805"/>
      <c r="M54" s="1805"/>
      <c r="N54" s="1805"/>
      <c r="O54" s="1805"/>
      <c r="P54" s="1805"/>
      <c r="Q54" s="1805"/>
      <c r="R54" s="1805"/>
      <c r="S54" s="1805"/>
      <c r="T54" s="1805"/>
      <c r="U54" s="1805"/>
      <c r="V54" s="1805"/>
      <c r="W54" s="1805"/>
      <c r="X54" s="1805"/>
      <c r="Y54" s="1805"/>
      <c r="Z54" s="1805"/>
      <c r="AA54" s="1805"/>
      <c r="AB54" s="1805"/>
      <c r="AC54" s="1805"/>
      <c r="AD54" s="1805"/>
      <c r="AE54" s="22"/>
      <c r="AF54" s="22"/>
      <c r="AG54" s="22"/>
      <c r="AH54" s="22"/>
      <c r="AI54" s="22"/>
      <c r="AJ54" s="22"/>
    </row>
    <row r="55" spans="1:36" x14ac:dyDescent="0.2">
      <c r="A55" s="15" t="str">
        <f t="shared" si="0"/>
        <v>Ackerland-K2O-Moor-C</v>
      </c>
      <c r="B55" s="15" t="s">
        <v>4888</v>
      </c>
      <c r="C55" s="15" t="s">
        <v>3808</v>
      </c>
      <c r="D55" s="15" t="s">
        <v>3369</v>
      </c>
      <c r="E55" s="15" t="s">
        <v>3336</v>
      </c>
      <c r="F55" s="15">
        <v>30</v>
      </c>
      <c r="G55" s="1805"/>
      <c r="H55" s="22"/>
      <c r="I55" s="22"/>
      <c r="J55" s="22"/>
      <c r="K55" s="1805"/>
      <c r="L55" s="1805"/>
      <c r="M55" s="1805"/>
      <c r="N55" s="1805"/>
      <c r="O55" s="1805"/>
      <c r="P55" s="1805"/>
      <c r="Q55" s="1805"/>
      <c r="R55" s="1805"/>
      <c r="S55" s="1805"/>
      <c r="T55" s="1805"/>
      <c r="U55" s="1805"/>
      <c r="V55" s="1805"/>
      <c r="W55" s="1805"/>
      <c r="X55" s="1805"/>
      <c r="Y55" s="1805"/>
      <c r="Z55" s="1805"/>
      <c r="AA55" s="1805"/>
      <c r="AB55" s="1805"/>
      <c r="AC55" s="1805"/>
      <c r="AD55" s="1805"/>
      <c r="AE55" s="22"/>
      <c r="AF55" s="22"/>
      <c r="AG55" s="22"/>
      <c r="AH55" s="22"/>
      <c r="AI55" s="22"/>
      <c r="AJ55" s="22"/>
    </row>
    <row r="56" spans="1:36" x14ac:dyDescent="0.2">
      <c r="A56" s="15" t="str">
        <f t="shared" si="0"/>
        <v>Ackerland-K2O-Moor-D</v>
      </c>
      <c r="B56" s="15" t="s">
        <v>4888</v>
      </c>
      <c r="C56" s="15" t="s">
        <v>3808</v>
      </c>
      <c r="D56" s="15" t="s">
        <v>3369</v>
      </c>
      <c r="E56" s="15" t="s">
        <v>3337</v>
      </c>
      <c r="F56" s="15">
        <v>40</v>
      </c>
      <c r="G56" s="1805"/>
      <c r="H56" s="22"/>
      <c r="I56" s="22"/>
      <c r="J56" s="22"/>
      <c r="K56" s="1805"/>
      <c r="L56" s="1805"/>
      <c r="M56" s="1805"/>
      <c r="N56" s="1805"/>
      <c r="O56" s="1805"/>
      <c r="P56" s="1805"/>
      <c r="Q56" s="1805"/>
      <c r="R56" s="1805"/>
      <c r="S56" s="1805"/>
      <c r="T56" s="1805"/>
      <c r="U56" s="1805"/>
      <c r="V56" s="1805"/>
      <c r="W56" s="1805"/>
      <c r="X56" s="1805"/>
      <c r="Y56" s="1805"/>
      <c r="Z56" s="1805"/>
      <c r="AA56" s="1805"/>
      <c r="AB56" s="1805"/>
      <c r="AC56" s="1805"/>
      <c r="AD56" s="1805"/>
      <c r="AE56" s="22"/>
      <c r="AF56" s="22"/>
      <c r="AG56" s="22"/>
      <c r="AH56" s="22"/>
      <c r="AI56" s="22"/>
      <c r="AJ56" s="22"/>
    </row>
    <row r="57" spans="1:36" x14ac:dyDescent="0.2">
      <c r="A57" s="15" t="str">
        <f t="shared" si="0"/>
        <v>Ackerland-K2O-schwer-A</v>
      </c>
      <c r="B57" s="15" t="s">
        <v>4888</v>
      </c>
      <c r="C57" s="15" t="s">
        <v>3808</v>
      </c>
      <c r="D57" s="15" t="s">
        <v>3640</v>
      </c>
      <c r="E57" s="15" t="s">
        <v>3330</v>
      </c>
      <c r="F57" s="15">
        <v>10</v>
      </c>
      <c r="G57" s="1805"/>
      <c r="H57" s="22"/>
      <c r="I57" s="22"/>
      <c r="J57" s="22"/>
      <c r="K57" s="1805"/>
      <c r="L57" s="1805"/>
      <c r="M57" s="1805"/>
      <c r="N57" s="1805"/>
      <c r="O57" s="1805"/>
      <c r="P57" s="1805"/>
      <c r="Q57" s="1805"/>
      <c r="R57" s="1805"/>
      <c r="S57" s="1805"/>
      <c r="T57" s="1805"/>
      <c r="U57" s="1805"/>
      <c r="V57" s="1805"/>
      <c r="W57" s="1805"/>
      <c r="X57" s="1805"/>
      <c r="Y57" s="1805"/>
      <c r="Z57" s="1805"/>
      <c r="AA57" s="1805"/>
      <c r="AB57" s="1805"/>
      <c r="AC57" s="1805"/>
      <c r="AD57" s="1805"/>
      <c r="AE57" s="22"/>
      <c r="AF57" s="22"/>
      <c r="AG57" s="22"/>
      <c r="AH57" s="22"/>
      <c r="AI57" s="22"/>
      <c r="AJ57" s="22"/>
    </row>
    <row r="58" spans="1:36" x14ac:dyDescent="0.2">
      <c r="A58" s="15" t="str">
        <f t="shared" si="0"/>
        <v>Ackerland-K2O-schwer-B</v>
      </c>
      <c r="B58" s="15" t="s">
        <v>4888</v>
      </c>
      <c r="C58" s="15" t="s">
        <v>3808</v>
      </c>
      <c r="D58" s="15" t="s">
        <v>3640</v>
      </c>
      <c r="E58" s="15" t="s">
        <v>3335</v>
      </c>
      <c r="F58" s="15">
        <v>20</v>
      </c>
      <c r="G58" s="1805"/>
      <c r="H58" s="22"/>
      <c r="I58" s="22"/>
      <c r="J58" s="22"/>
      <c r="K58" s="1805"/>
      <c r="L58" s="1805"/>
      <c r="M58" s="1805"/>
      <c r="N58" s="1805"/>
      <c r="O58" s="1805"/>
      <c r="P58" s="1805"/>
      <c r="Q58" s="1805"/>
      <c r="R58" s="1805"/>
      <c r="S58" s="1805"/>
      <c r="T58" s="1805"/>
      <c r="U58" s="1805"/>
      <c r="V58" s="1805"/>
      <c r="W58" s="1805"/>
      <c r="X58" s="1805"/>
      <c r="Y58" s="1805"/>
      <c r="Z58" s="1805"/>
      <c r="AA58" s="1805"/>
      <c r="AB58" s="1805"/>
      <c r="AC58" s="1805"/>
      <c r="AD58" s="1805"/>
      <c r="AE58" s="22"/>
      <c r="AF58" s="22"/>
      <c r="AG58" s="22"/>
      <c r="AH58" s="22"/>
      <c r="AI58" s="22"/>
      <c r="AJ58" s="22"/>
    </row>
    <row r="59" spans="1:36" x14ac:dyDescent="0.2">
      <c r="A59" s="15" t="str">
        <f t="shared" si="0"/>
        <v>Ackerland-K2O-schwer-C</v>
      </c>
      <c r="B59" s="15" t="s">
        <v>4888</v>
      </c>
      <c r="C59" s="15" t="s">
        <v>3808</v>
      </c>
      <c r="D59" s="15" t="s">
        <v>3640</v>
      </c>
      <c r="E59" s="15" t="s">
        <v>3336</v>
      </c>
      <c r="F59" s="15">
        <v>30</v>
      </c>
      <c r="G59" s="1805"/>
      <c r="H59" s="22"/>
      <c r="I59" s="22"/>
      <c r="J59" s="22"/>
      <c r="K59" s="1805"/>
      <c r="L59" s="1805"/>
      <c r="M59" s="1805"/>
      <c r="N59" s="1805"/>
      <c r="O59" s="1805"/>
      <c r="P59" s="1805"/>
      <c r="Q59" s="1805"/>
      <c r="R59" s="1805"/>
      <c r="S59" s="1805"/>
      <c r="T59" s="1805"/>
      <c r="U59" s="1805"/>
      <c r="V59" s="1805"/>
      <c r="W59" s="1805"/>
      <c r="X59" s="1805"/>
      <c r="Y59" s="1805"/>
      <c r="Z59" s="1805"/>
      <c r="AA59" s="1805"/>
      <c r="AB59" s="1805"/>
      <c r="AC59" s="1805"/>
      <c r="AD59" s="1805"/>
      <c r="AE59" s="22"/>
      <c r="AF59" s="22"/>
      <c r="AG59" s="22"/>
      <c r="AH59" s="22"/>
      <c r="AI59" s="22"/>
      <c r="AJ59" s="22"/>
    </row>
    <row r="60" spans="1:36" x14ac:dyDescent="0.2">
      <c r="A60" s="15" t="str">
        <f t="shared" si="0"/>
        <v>Ackerland-K2O-schwer-D</v>
      </c>
      <c r="B60" s="15" t="s">
        <v>4888</v>
      </c>
      <c r="C60" s="15" t="s">
        <v>3808</v>
      </c>
      <c r="D60" s="15" t="s">
        <v>3640</v>
      </c>
      <c r="E60" s="15" t="s">
        <v>3337</v>
      </c>
      <c r="F60" s="15">
        <v>40</v>
      </c>
      <c r="G60" s="1805"/>
      <c r="H60" s="22"/>
      <c r="I60" s="22"/>
      <c r="J60" s="22"/>
      <c r="K60" s="1805"/>
      <c r="L60" s="1805"/>
      <c r="M60" s="1805"/>
      <c r="N60" s="1805"/>
      <c r="O60" s="1805"/>
      <c r="P60" s="1805"/>
      <c r="Q60" s="1805"/>
      <c r="R60" s="1805"/>
      <c r="S60" s="1805"/>
      <c r="T60" s="1805"/>
      <c r="U60" s="1805"/>
      <c r="V60" s="1805"/>
      <c r="W60" s="1805"/>
      <c r="X60" s="1805"/>
      <c r="Y60" s="1805"/>
      <c r="Z60" s="1805"/>
      <c r="AA60" s="1805"/>
      <c r="AB60" s="1805"/>
      <c r="AC60" s="1805"/>
      <c r="AD60" s="1805"/>
      <c r="AE60" s="22"/>
      <c r="AF60" s="22"/>
      <c r="AG60" s="22"/>
      <c r="AH60" s="22"/>
      <c r="AI60" s="22"/>
      <c r="AJ60" s="22"/>
    </row>
    <row r="61" spans="1:36" x14ac:dyDescent="0.2">
      <c r="A61" s="15" t="str">
        <f t="shared" si="0"/>
        <v>Hopfen-K2O-leicht-A</v>
      </c>
      <c r="B61" s="15" t="s">
        <v>3415</v>
      </c>
      <c r="C61" s="15" t="s">
        <v>3808</v>
      </c>
      <c r="D61" s="15" t="s">
        <v>3635</v>
      </c>
      <c r="E61" s="15" t="s">
        <v>3330</v>
      </c>
      <c r="F61" s="15">
        <v>7</v>
      </c>
      <c r="G61" s="1805"/>
      <c r="H61" s="22"/>
      <c r="I61" s="22"/>
      <c r="J61" s="22"/>
      <c r="K61" s="1805"/>
      <c r="L61" s="1805"/>
      <c r="M61" s="1805"/>
      <c r="N61" s="1805"/>
      <c r="O61" s="1805"/>
      <c r="P61" s="1805"/>
      <c r="Q61" s="1805"/>
      <c r="R61" s="1805"/>
      <c r="S61" s="1805"/>
      <c r="T61" s="1805"/>
      <c r="U61" s="1805"/>
      <c r="V61" s="1805"/>
      <c r="W61" s="1805"/>
      <c r="X61" s="1805"/>
      <c r="Y61" s="1805"/>
      <c r="Z61" s="1805"/>
      <c r="AA61" s="1805"/>
      <c r="AB61" s="1805"/>
      <c r="AC61" s="1805"/>
      <c r="AD61" s="1805"/>
      <c r="AE61" s="22"/>
      <c r="AF61" s="22"/>
      <c r="AG61" s="22"/>
      <c r="AH61" s="22"/>
      <c r="AI61" s="22"/>
      <c r="AJ61" s="22"/>
    </row>
    <row r="62" spans="1:36" x14ac:dyDescent="0.2">
      <c r="A62" s="15" t="str">
        <f t="shared" si="0"/>
        <v>Hopfen-K2O-leicht-B</v>
      </c>
      <c r="B62" s="15" t="s">
        <v>3415</v>
      </c>
      <c r="C62" s="15" t="s">
        <v>3808</v>
      </c>
      <c r="D62" s="15" t="s">
        <v>3635</v>
      </c>
      <c r="E62" s="15" t="s">
        <v>3335</v>
      </c>
      <c r="F62" s="15">
        <v>14</v>
      </c>
      <c r="G62" s="1805"/>
      <c r="H62" s="22"/>
      <c r="I62" s="22"/>
      <c r="J62" s="22"/>
      <c r="K62" s="1805"/>
      <c r="L62" s="1805"/>
      <c r="M62" s="1805"/>
      <c r="N62" s="1805"/>
      <c r="O62" s="1805"/>
      <c r="P62" s="1805"/>
      <c r="Q62" s="1805"/>
      <c r="R62" s="1805"/>
      <c r="S62" s="1805"/>
      <c r="T62" s="1805"/>
      <c r="U62" s="1805"/>
      <c r="V62" s="1805"/>
      <c r="W62" s="1805"/>
      <c r="X62" s="1805"/>
      <c r="Y62" s="1805"/>
      <c r="Z62" s="1805"/>
      <c r="AA62" s="1805"/>
      <c r="AB62" s="1805"/>
      <c r="AC62" s="1805"/>
      <c r="AD62" s="1805"/>
      <c r="AE62" s="22"/>
      <c r="AF62" s="22"/>
      <c r="AG62" s="22"/>
      <c r="AH62" s="22"/>
      <c r="AI62" s="22"/>
      <c r="AJ62" s="22"/>
    </row>
    <row r="63" spans="1:36" x14ac:dyDescent="0.2">
      <c r="A63" s="15" t="str">
        <f t="shared" si="0"/>
        <v>Hopfen-K2O-leicht-C</v>
      </c>
      <c r="B63" s="15" t="s">
        <v>3415</v>
      </c>
      <c r="C63" s="15" t="s">
        <v>3808</v>
      </c>
      <c r="D63" s="15" t="s">
        <v>3635</v>
      </c>
      <c r="E63" s="15" t="s">
        <v>3336</v>
      </c>
      <c r="F63" s="15">
        <v>20</v>
      </c>
      <c r="G63" s="1805"/>
      <c r="H63" s="22"/>
      <c r="I63" s="22"/>
      <c r="J63" s="22"/>
      <c r="K63" s="1805"/>
      <c r="L63" s="1805"/>
      <c r="M63" s="1805"/>
      <c r="N63" s="1805"/>
      <c r="O63" s="1805"/>
      <c r="P63" s="1805"/>
      <c r="Q63" s="1805"/>
      <c r="R63" s="1805"/>
      <c r="S63" s="1805"/>
      <c r="T63" s="1805"/>
      <c r="U63" s="1805"/>
      <c r="V63" s="1805"/>
      <c r="W63" s="1805"/>
      <c r="X63" s="1805"/>
      <c r="Y63" s="1805"/>
      <c r="Z63" s="1805"/>
      <c r="AA63" s="1805"/>
      <c r="AB63" s="1805"/>
      <c r="AC63" s="1805"/>
      <c r="AD63" s="1805"/>
      <c r="AE63" s="22"/>
      <c r="AF63" s="22"/>
      <c r="AG63" s="22"/>
      <c r="AH63" s="22"/>
      <c r="AI63" s="22"/>
      <c r="AJ63" s="22"/>
    </row>
    <row r="64" spans="1:36" x14ac:dyDescent="0.2">
      <c r="A64" s="15" t="str">
        <f t="shared" si="0"/>
        <v>Hopfen-K2O-leicht-D</v>
      </c>
      <c r="B64" s="15" t="s">
        <v>3415</v>
      </c>
      <c r="C64" s="15" t="s">
        <v>3808</v>
      </c>
      <c r="D64" s="15" t="s">
        <v>3635</v>
      </c>
      <c r="E64" s="15" t="s">
        <v>3337</v>
      </c>
      <c r="F64" s="15">
        <v>30</v>
      </c>
      <c r="G64" s="1805"/>
      <c r="H64" s="22"/>
      <c r="I64" s="22"/>
      <c r="J64" s="22"/>
      <c r="K64" s="1805"/>
      <c r="L64" s="1805"/>
      <c r="M64" s="1805"/>
      <c r="N64" s="1805"/>
      <c r="O64" s="1805"/>
      <c r="P64" s="1805"/>
      <c r="Q64" s="1805"/>
      <c r="R64" s="1805"/>
      <c r="S64" s="1805"/>
      <c r="T64" s="1805"/>
      <c r="U64" s="1805"/>
      <c r="V64" s="1805"/>
      <c r="W64" s="1805"/>
      <c r="X64" s="1805"/>
      <c r="Y64" s="1805"/>
      <c r="Z64" s="1805"/>
      <c r="AA64" s="1805"/>
      <c r="AB64" s="1805"/>
      <c r="AC64" s="1805"/>
      <c r="AD64" s="1805"/>
      <c r="AE64" s="22"/>
      <c r="AF64" s="22"/>
      <c r="AG64" s="22"/>
      <c r="AH64" s="22"/>
      <c r="AI64" s="22"/>
      <c r="AJ64" s="22"/>
    </row>
    <row r="65" spans="1:36" x14ac:dyDescent="0.2">
      <c r="A65" s="15" t="str">
        <f t="shared" si="0"/>
        <v>Hopfen-K2O-mittel-A</v>
      </c>
      <c r="B65" s="15" t="s">
        <v>3415</v>
      </c>
      <c r="C65" s="15" t="s">
        <v>3808</v>
      </c>
      <c r="D65" s="15" t="s">
        <v>3453</v>
      </c>
      <c r="E65" s="15" t="s">
        <v>3330</v>
      </c>
      <c r="F65" s="15">
        <v>7</v>
      </c>
      <c r="G65" s="1805"/>
      <c r="H65" s="22"/>
      <c r="I65" s="22"/>
      <c r="J65" s="22"/>
      <c r="K65" s="1805"/>
      <c r="L65" s="1805"/>
      <c r="M65" s="1805"/>
      <c r="N65" s="1805"/>
      <c r="O65" s="1805"/>
      <c r="P65" s="1805"/>
      <c r="Q65" s="1805"/>
      <c r="R65" s="1805"/>
      <c r="S65" s="1805"/>
      <c r="T65" s="1805"/>
      <c r="U65" s="1805"/>
      <c r="V65" s="1805"/>
      <c r="W65" s="1805"/>
      <c r="X65" s="1805"/>
      <c r="Y65" s="1805"/>
      <c r="Z65" s="1805"/>
      <c r="AA65" s="1805"/>
      <c r="AB65" s="1805"/>
      <c r="AC65" s="1805"/>
      <c r="AD65" s="1805"/>
      <c r="AE65" s="22"/>
      <c r="AF65" s="22"/>
      <c r="AG65" s="22"/>
      <c r="AH65" s="22"/>
      <c r="AI65" s="22"/>
      <c r="AJ65" s="22"/>
    </row>
    <row r="66" spans="1:36" x14ac:dyDescent="0.2">
      <c r="A66" s="15" t="str">
        <f t="shared" si="0"/>
        <v>Hopfen-K2O-mittel-B</v>
      </c>
      <c r="B66" s="15" t="s">
        <v>3415</v>
      </c>
      <c r="C66" s="15" t="s">
        <v>3808</v>
      </c>
      <c r="D66" s="15" t="s">
        <v>3453</v>
      </c>
      <c r="E66" s="15" t="s">
        <v>3335</v>
      </c>
      <c r="F66" s="15">
        <v>14</v>
      </c>
      <c r="G66" s="1805"/>
      <c r="H66" s="22"/>
      <c r="I66" s="22"/>
      <c r="J66" s="22"/>
      <c r="K66" s="1805"/>
      <c r="L66" s="1805"/>
      <c r="M66" s="1805"/>
      <c r="N66" s="1805"/>
      <c r="O66" s="1805"/>
      <c r="P66" s="1805"/>
      <c r="Q66" s="1805"/>
      <c r="R66" s="1805"/>
      <c r="S66" s="1805"/>
      <c r="T66" s="1805"/>
      <c r="U66" s="1805"/>
      <c r="V66" s="1805"/>
      <c r="W66" s="1805"/>
      <c r="X66" s="1805"/>
      <c r="Y66" s="1805"/>
      <c r="Z66" s="1805"/>
      <c r="AA66" s="1805"/>
      <c r="AB66" s="1805"/>
      <c r="AC66" s="1805"/>
      <c r="AD66" s="1805"/>
      <c r="AE66" s="22"/>
      <c r="AF66" s="22"/>
      <c r="AG66" s="22"/>
      <c r="AH66" s="22"/>
      <c r="AI66" s="22"/>
      <c r="AJ66" s="22"/>
    </row>
    <row r="67" spans="1:36" x14ac:dyDescent="0.2">
      <c r="A67" s="15" t="str">
        <f t="shared" si="0"/>
        <v>Hopfen-K2O-mittel-C</v>
      </c>
      <c r="B67" s="15" t="s">
        <v>3415</v>
      </c>
      <c r="C67" s="15" t="s">
        <v>3808</v>
      </c>
      <c r="D67" s="15" t="s">
        <v>3453</v>
      </c>
      <c r="E67" s="15" t="s">
        <v>3336</v>
      </c>
      <c r="F67" s="15">
        <v>30</v>
      </c>
      <c r="G67" s="1805"/>
      <c r="H67" s="22"/>
      <c r="I67" s="22"/>
      <c r="J67" s="22"/>
      <c r="K67" s="1805"/>
      <c r="L67" s="1805"/>
      <c r="M67" s="1805"/>
      <c r="N67" s="1805"/>
      <c r="O67" s="1805"/>
      <c r="P67" s="1805"/>
      <c r="Q67" s="1805"/>
      <c r="R67" s="1805"/>
      <c r="S67" s="1805"/>
      <c r="T67" s="1805"/>
      <c r="U67" s="1805"/>
      <c r="V67" s="1805"/>
      <c r="W67" s="1805"/>
      <c r="X67" s="1805"/>
      <c r="Y67" s="1805"/>
      <c r="Z67" s="1805"/>
      <c r="AA67" s="1805"/>
      <c r="AB67" s="1805"/>
      <c r="AC67" s="1805"/>
      <c r="AD67" s="1805"/>
      <c r="AE67" s="22"/>
      <c r="AF67" s="22"/>
      <c r="AG67" s="22"/>
      <c r="AH67" s="22"/>
      <c r="AI67" s="22"/>
      <c r="AJ67" s="22"/>
    </row>
    <row r="68" spans="1:36" x14ac:dyDescent="0.2">
      <c r="A68" s="15" t="str">
        <f t="shared" si="0"/>
        <v>Hopfen-K2O-mittel-D</v>
      </c>
      <c r="B68" s="15" t="s">
        <v>3415</v>
      </c>
      <c r="C68" s="15" t="s">
        <v>3808</v>
      </c>
      <c r="D68" s="15" t="s">
        <v>3453</v>
      </c>
      <c r="E68" s="15" t="s">
        <v>3337</v>
      </c>
      <c r="F68" s="15">
        <v>40</v>
      </c>
      <c r="G68" s="1805"/>
      <c r="H68" s="22"/>
      <c r="I68" s="22"/>
      <c r="J68" s="22"/>
      <c r="K68" s="1805"/>
      <c r="L68" s="1805"/>
      <c r="M68" s="1805"/>
      <c r="N68" s="1805"/>
      <c r="O68" s="1805"/>
      <c r="P68" s="1805"/>
      <c r="Q68" s="1805"/>
      <c r="R68" s="1805"/>
      <c r="S68" s="1805"/>
      <c r="T68" s="1805"/>
      <c r="U68" s="1805"/>
      <c r="V68" s="1805"/>
      <c r="W68" s="1805"/>
      <c r="X68" s="1805"/>
      <c r="Y68" s="1805"/>
      <c r="Z68" s="1805"/>
      <c r="AA68" s="1805"/>
      <c r="AB68" s="1805"/>
      <c r="AC68" s="1805"/>
      <c r="AD68" s="1805"/>
      <c r="AE68" s="22"/>
      <c r="AF68" s="22"/>
      <c r="AG68" s="22"/>
      <c r="AH68" s="22"/>
      <c r="AI68" s="22"/>
      <c r="AJ68" s="22"/>
    </row>
    <row r="69" spans="1:36" x14ac:dyDescent="0.2">
      <c r="A69" s="15" t="str">
        <f t="shared" si="0"/>
        <v>Hopfen-K2O-Moor-A</v>
      </c>
      <c r="B69" s="15" t="s">
        <v>3415</v>
      </c>
      <c r="C69" s="15" t="s">
        <v>3808</v>
      </c>
      <c r="D69" s="15" t="s">
        <v>3369</v>
      </c>
      <c r="E69" s="15" t="s">
        <v>3330</v>
      </c>
      <c r="F69" s="15">
        <v>10</v>
      </c>
      <c r="G69" s="1805"/>
      <c r="H69" s="22"/>
      <c r="I69" s="22"/>
      <c r="J69" s="22"/>
      <c r="K69" s="1805"/>
      <c r="L69" s="1805"/>
      <c r="M69" s="1805"/>
      <c r="N69" s="1805"/>
      <c r="O69" s="1805"/>
      <c r="P69" s="1805"/>
      <c r="Q69" s="1805"/>
      <c r="R69" s="1805"/>
      <c r="S69" s="1805"/>
      <c r="T69" s="1805"/>
      <c r="U69" s="1805"/>
      <c r="V69" s="1805"/>
      <c r="W69" s="1805"/>
      <c r="X69" s="1805"/>
      <c r="Y69" s="1805"/>
      <c r="Z69" s="1805"/>
      <c r="AA69" s="1805"/>
      <c r="AB69" s="1805"/>
      <c r="AC69" s="1805"/>
      <c r="AD69" s="1805"/>
      <c r="AE69" s="22"/>
      <c r="AF69" s="22"/>
      <c r="AG69" s="22"/>
      <c r="AH69" s="22"/>
      <c r="AI69" s="22"/>
      <c r="AJ69" s="22"/>
    </row>
    <row r="70" spans="1:36" x14ac:dyDescent="0.2">
      <c r="A70" s="15" t="str">
        <f t="shared" si="0"/>
        <v>Hopfen-K2O-Moor-B</v>
      </c>
      <c r="B70" s="15" t="s">
        <v>3415</v>
      </c>
      <c r="C70" s="15" t="s">
        <v>3808</v>
      </c>
      <c r="D70" s="15" t="s">
        <v>3369</v>
      </c>
      <c r="E70" s="15" t="s">
        <v>3335</v>
      </c>
      <c r="F70" s="15">
        <v>20</v>
      </c>
      <c r="G70" s="1805"/>
      <c r="H70" s="22"/>
      <c r="I70" s="22"/>
      <c r="J70" s="22"/>
      <c r="K70" s="1805"/>
      <c r="L70" s="1805"/>
      <c r="M70" s="1805"/>
      <c r="N70" s="1805"/>
      <c r="O70" s="1805"/>
      <c r="P70" s="1805"/>
      <c r="Q70" s="1805"/>
      <c r="R70" s="1805"/>
      <c r="S70" s="1805"/>
      <c r="T70" s="1805"/>
      <c r="U70" s="1805"/>
      <c r="V70" s="1805"/>
      <c r="W70" s="1805"/>
      <c r="X70" s="1805"/>
      <c r="Y70" s="1805"/>
      <c r="Z70" s="1805"/>
      <c r="AA70" s="1805"/>
      <c r="AB70" s="1805"/>
      <c r="AC70" s="1805"/>
      <c r="AD70" s="1805"/>
      <c r="AE70" s="22"/>
      <c r="AF70" s="22"/>
      <c r="AG70" s="22"/>
      <c r="AH70" s="22"/>
      <c r="AI70" s="22"/>
      <c r="AJ70" s="22"/>
    </row>
    <row r="71" spans="1:36" x14ac:dyDescent="0.2">
      <c r="A71" s="15" t="str">
        <f t="shared" si="0"/>
        <v>Hopfen-K2O-Moor-C</v>
      </c>
      <c r="B71" s="15" t="s">
        <v>3415</v>
      </c>
      <c r="C71" s="15" t="s">
        <v>3808</v>
      </c>
      <c r="D71" s="15" t="s">
        <v>3369</v>
      </c>
      <c r="E71" s="15" t="s">
        <v>3336</v>
      </c>
      <c r="F71" s="15">
        <v>30</v>
      </c>
      <c r="G71" s="1805"/>
      <c r="H71" s="22"/>
      <c r="I71" s="22"/>
      <c r="J71" s="22"/>
      <c r="K71" s="1805"/>
      <c r="L71" s="1805"/>
      <c r="M71" s="1805"/>
      <c r="N71" s="1805"/>
      <c r="O71" s="1805"/>
      <c r="P71" s="1805"/>
      <c r="Q71" s="1805"/>
      <c r="R71" s="1805"/>
      <c r="S71" s="1805"/>
      <c r="T71" s="1805"/>
      <c r="U71" s="1805"/>
      <c r="V71" s="1805"/>
      <c r="W71" s="1805"/>
      <c r="X71" s="1805"/>
      <c r="Y71" s="1805"/>
      <c r="Z71" s="1805"/>
      <c r="AA71" s="1805"/>
      <c r="AB71" s="1805"/>
      <c r="AC71" s="1805"/>
      <c r="AD71" s="1805"/>
      <c r="AE71" s="22"/>
      <c r="AF71" s="22"/>
      <c r="AG71" s="22"/>
      <c r="AH71" s="22"/>
      <c r="AI71" s="22"/>
      <c r="AJ71" s="22"/>
    </row>
    <row r="72" spans="1:36" x14ac:dyDescent="0.2">
      <c r="A72" s="15" t="str">
        <f t="shared" si="0"/>
        <v>Hopfen-K2O-Moor-D</v>
      </c>
      <c r="B72" s="15" t="s">
        <v>3415</v>
      </c>
      <c r="C72" s="15" t="s">
        <v>3808</v>
      </c>
      <c r="D72" s="15" t="s">
        <v>3369</v>
      </c>
      <c r="E72" s="15" t="s">
        <v>3337</v>
      </c>
      <c r="F72" s="15">
        <v>40</v>
      </c>
      <c r="G72" s="1805"/>
      <c r="H72" s="22"/>
      <c r="I72" s="22"/>
      <c r="J72" s="22"/>
      <c r="K72" s="1805"/>
      <c r="L72" s="1805"/>
      <c r="M72" s="1805"/>
      <c r="N72" s="1805"/>
      <c r="O72" s="1805"/>
      <c r="P72" s="1805"/>
      <c r="Q72" s="1805"/>
      <c r="R72" s="1805"/>
      <c r="S72" s="1805"/>
      <c r="T72" s="1805"/>
      <c r="U72" s="1805"/>
      <c r="V72" s="1805"/>
      <c r="W72" s="1805"/>
      <c r="X72" s="1805"/>
      <c r="Y72" s="1805"/>
      <c r="Z72" s="1805"/>
      <c r="AA72" s="1805"/>
      <c r="AB72" s="1805"/>
      <c r="AC72" s="1805"/>
      <c r="AD72" s="1805"/>
      <c r="AE72" s="22"/>
      <c r="AF72" s="22"/>
      <c r="AG72" s="22"/>
      <c r="AH72" s="22"/>
      <c r="AI72" s="22"/>
      <c r="AJ72" s="22"/>
    </row>
    <row r="73" spans="1:36" x14ac:dyDescent="0.2">
      <c r="A73" s="15" t="str">
        <f t="shared" si="0"/>
        <v>Hopfen-K2O-schwer-A</v>
      </c>
      <c r="B73" s="15" t="s">
        <v>3415</v>
      </c>
      <c r="C73" s="15" t="s">
        <v>3808</v>
      </c>
      <c r="D73" s="15" t="s">
        <v>3640</v>
      </c>
      <c r="E73" s="15" t="s">
        <v>3330</v>
      </c>
      <c r="F73" s="15">
        <v>9</v>
      </c>
      <c r="G73" s="1805"/>
      <c r="H73" s="22"/>
      <c r="I73" s="22"/>
      <c r="J73" s="22"/>
      <c r="K73" s="1805"/>
      <c r="L73" s="1805"/>
      <c r="M73" s="1805"/>
      <c r="N73" s="1805"/>
      <c r="O73" s="1805"/>
      <c r="P73" s="1805"/>
      <c r="Q73" s="1805"/>
      <c r="R73" s="1805"/>
      <c r="S73" s="1805"/>
      <c r="T73" s="1805"/>
      <c r="U73" s="1805"/>
      <c r="V73" s="1805"/>
      <c r="W73" s="1805"/>
      <c r="X73" s="1805"/>
      <c r="Y73" s="1805"/>
      <c r="Z73" s="1805"/>
      <c r="AA73" s="1805"/>
      <c r="AB73" s="1805"/>
      <c r="AC73" s="1805"/>
      <c r="AD73" s="1805"/>
      <c r="AE73" s="22"/>
      <c r="AF73" s="22"/>
      <c r="AG73" s="22"/>
      <c r="AH73" s="22"/>
      <c r="AI73" s="22"/>
      <c r="AJ73" s="22"/>
    </row>
    <row r="74" spans="1:36" x14ac:dyDescent="0.2">
      <c r="A74" s="15" t="str">
        <f t="shared" si="0"/>
        <v>Hopfen-K2O-schwer-B</v>
      </c>
      <c r="B74" s="15" t="s">
        <v>3415</v>
      </c>
      <c r="C74" s="15" t="s">
        <v>3808</v>
      </c>
      <c r="D74" s="15" t="s">
        <v>3640</v>
      </c>
      <c r="E74" s="15" t="s">
        <v>3335</v>
      </c>
      <c r="F74" s="15">
        <v>19</v>
      </c>
      <c r="G74" s="1805"/>
      <c r="H74" s="22"/>
      <c r="I74" s="22"/>
      <c r="J74" s="22"/>
      <c r="K74" s="1805"/>
      <c r="L74" s="1805"/>
      <c r="M74" s="1805"/>
      <c r="N74" s="1805"/>
      <c r="O74" s="1805"/>
      <c r="P74" s="1805"/>
      <c r="Q74" s="1805"/>
      <c r="R74" s="1805"/>
      <c r="S74" s="1805"/>
      <c r="T74" s="1805"/>
      <c r="U74" s="1805"/>
      <c r="V74" s="1805"/>
      <c r="W74" s="1805"/>
      <c r="X74" s="1805"/>
      <c r="Y74" s="1805"/>
      <c r="Z74" s="1805"/>
      <c r="AA74" s="1805"/>
      <c r="AB74" s="1805"/>
      <c r="AC74" s="1805"/>
      <c r="AD74" s="1805"/>
      <c r="AE74" s="22"/>
      <c r="AF74" s="22"/>
      <c r="AG74" s="22"/>
      <c r="AH74" s="22"/>
      <c r="AI74" s="22"/>
      <c r="AJ74" s="22"/>
    </row>
    <row r="75" spans="1:36" x14ac:dyDescent="0.2">
      <c r="A75" s="15" t="str">
        <f t="shared" si="0"/>
        <v>Hopfen-K2O-schwer-C</v>
      </c>
      <c r="B75" s="15" t="s">
        <v>3415</v>
      </c>
      <c r="C75" s="15" t="s">
        <v>3808</v>
      </c>
      <c r="D75" s="15" t="s">
        <v>3640</v>
      </c>
      <c r="E75" s="15" t="s">
        <v>3336</v>
      </c>
      <c r="F75" s="15">
        <v>35</v>
      </c>
      <c r="G75" s="1805"/>
      <c r="H75" s="22"/>
      <c r="I75" s="22"/>
      <c r="J75" s="22"/>
      <c r="K75" s="1805"/>
      <c r="L75" s="1805"/>
      <c r="M75" s="1805"/>
      <c r="N75" s="1805"/>
      <c r="O75" s="1805"/>
      <c r="P75" s="1805"/>
      <c r="Q75" s="1805"/>
      <c r="R75" s="1805"/>
      <c r="S75" s="1805"/>
      <c r="T75" s="1805"/>
      <c r="U75" s="1805"/>
      <c r="V75" s="1805"/>
      <c r="W75" s="1805"/>
      <c r="X75" s="1805"/>
      <c r="Y75" s="1805"/>
      <c r="Z75" s="1805"/>
      <c r="AA75" s="1805"/>
      <c r="AB75" s="1805"/>
      <c r="AC75" s="1805"/>
      <c r="AD75" s="1805"/>
      <c r="AE75" s="22"/>
      <c r="AF75" s="22"/>
      <c r="AG75" s="22"/>
      <c r="AH75" s="22"/>
      <c r="AI75" s="22"/>
      <c r="AJ75" s="22"/>
    </row>
    <row r="76" spans="1:36" x14ac:dyDescent="0.2">
      <c r="A76" s="15" t="str">
        <f t="shared" si="0"/>
        <v>Hopfen-K2O-schwer-D</v>
      </c>
      <c r="B76" s="15" t="s">
        <v>3415</v>
      </c>
      <c r="C76" s="15" t="s">
        <v>3808</v>
      </c>
      <c r="D76" s="15" t="s">
        <v>3640</v>
      </c>
      <c r="E76" s="15" t="s">
        <v>3337</v>
      </c>
      <c r="F76" s="15">
        <v>50</v>
      </c>
      <c r="G76" s="1805"/>
      <c r="H76" s="22"/>
      <c r="I76" s="22"/>
      <c r="J76" s="22"/>
      <c r="K76" s="1805"/>
      <c r="L76" s="1805"/>
      <c r="M76" s="1805"/>
      <c r="N76" s="1805"/>
      <c r="O76" s="1805"/>
      <c r="P76" s="1805"/>
      <c r="Q76" s="1805"/>
      <c r="R76" s="1805"/>
      <c r="S76" s="1805"/>
      <c r="T76" s="1805"/>
      <c r="U76" s="1805"/>
      <c r="V76" s="1805"/>
      <c r="W76" s="1805"/>
      <c r="X76" s="1805"/>
      <c r="Y76" s="1805"/>
      <c r="Z76" s="1805"/>
      <c r="AA76" s="1805"/>
      <c r="AB76" s="1805"/>
      <c r="AC76" s="1805"/>
      <c r="AD76" s="1805"/>
      <c r="AE76" s="22"/>
      <c r="AF76" s="22"/>
      <c r="AG76" s="22"/>
      <c r="AH76" s="22"/>
      <c r="AI76" s="22"/>
      <c r="AJ76" s="22"/>
    </row>
    <row r="77" spans="1:36" x14ac:dyDescent="0.2">
      <c r="A77" s="15" t="str">
        <f t="shared" si="0"/>
        <v>Obst-K2O-leicht-A</v>
      </c>
      <c r="B77" s="15" t="s">
        <v>3650</v>
      </c>
      <c r="C77" s="15" t="s">
        <v>3808</v>
      </c>
      <c r="D77" s="15" t="s">
        <v>3635</v>
      </c>
      <c r="E77" s="15" t="s">
        <v>3330</v>
      </c>
      <c r="F77" s="15">
        <v>7</v>
      </c>
      <c r="G77" s="1805"/>
      <c r="H77" s="22"/>
      <c r="I77" s="22"/>
      <c r="J77" s="22"/>
      <c r="K77" s="1805"/>
      <c r="L77" s="1805"/>
      <c r="M77" s="1805"/>
      <c r="N77" s="1805"/>
      <c r="O77" s="1805"/>
      <c r="P77" s="1805"/>
      <c r="Q77" s="1805"/>
      <c r="R77" s="1805"/>
      <c r="S77" s="1805"/>
      <c r="T77" s="1805"/>
      <c r="U77" s="1805"/>
      <c r="V77" s="1805"/>
      <c r="W77" s="1805"/>
      <c r="X77" s="1805"/>
      <c r="Y77" s="1805"/>
      <c r="Z77" s="1805"/>
      <c r="AA77" s="1805"/>
      <c r="AB77" s="1805"/>
      <c r="AC77" s="1805"/>
      <c r="AD77" s="1805"/>
      <c r="AE77" s="22"/>
      <c r="AF77" s="22"/>
      <c r="AG77" s="22"/>
      <c r="AH77" s="22"/>
      <c r="AI77" s="22"/>
      <c r="AJ77" s="22"/>
    </row>
    <row r="78" spans="1:36" x14ac:dyDescent="0.2">
      <c r="A78" s="15" t="str">
        <f t="shared" si="0"/>
        <v>Obst-K2O-leicht-B</v>
      </c>
      <c r="B78" s="15" t="s">
        <v>3650</v>
      </c>
      <c r="C78" s="15" t="s">
        <v>3808</v>
      </c>
      <c r="D78" s="15" t="s">
        <v>3635</v>
      </c>
      <c r="E78" s="15" t="s">
        <v>3335</v>
      </c>
      <c r="F78" s="15">
        <v>0</v>
      </c>
      <c r="G78" s="1805"/>
      <c r="H78" s="22"/>
      <c r="I78" s="22"/>
      <c r="J78" s="22"/>
      <c r="K78" s="1805"/>
      <c r="L78" s="1805"/>
      <c r="M78" s="1805"/>
      <c r="N78" s="1805"/>
      <c r="O78" s="1805"/>
      <c r="P78" s="1805"/>
      <c r="Q78" s="1805"/>
      <c r="R78" s="1805"/>
      <c r="S78" s="1805"/>
      <c r="T78" s="1805"/>
      <c r="U78" s="1805"/>
      <c r="V78" s="1805"/>
      <c r="W78" s="1805"/>
      <c r="X78" s="1805"/>
      <c r="Y78" s="1805"/>
      <c r="Z78" s="1805"/>
      <c r="AA78" s="1805"/>
      <c r="AB78" s="1805"/>
      <c r="AC78" s="1805"/>
      <c r="AD78" s="1805"/>
      <c r="AE78" s="22"/>
      <c r="AF78" s="22"/>
      <c r="AG78" s="22"/>
      <c r="AH78" s="22"/>
      <c r="AI78" s="22"/>
      <c r="AJ78" s="22"/>
    </row>
    <row r="79" spans="1:36" x14ac:dyDescent="0.2">
      <c r="A79" s="15" t="str">
        <f t="shared" si="0"/>
        <v>Obst-K2O-leicht-C</v>
      </c>
      <c r="B79" s="15" t="s">
        <v>3650</v>
      </c>
      <c r="C79" s="15" t="s">
        <v>3808</v>
      </c>
      <c r="D79" s="15" t="s">
        <v>3635</v>
      </c>
      <c r="E79" s="15" t="s">
        <v>3336</v>
      </c>
      <c r="F79" s="15">
        <v>20</v>
      </c>
      <c r="G79" s="1805"/>
      <c r="H79" s="22"/>
      <c r="I79" s="22"/>
      <c r="J79" s="22"/>
      <c r="K79" s="1805"/>
      <c r="L79" s="1805"/>
      <c r="M79" s="1805"/>
      <c r="N79" s="1805"/>
      <c r="O79" s="1805"/>
      <c r="P79" s="1805"/>
      <c r="Q79" s="1805"/>
      <c r="R79" s="1805"/>
      <c r="S79" s="1805"/>
      <c r="T79" s="1805"/>
      <c r="U79" s="1805"/>
      <c r="V79" s="1805"/>
      <c r="W79" s="1805"/>
      <c r="X79" s="1805"/>
      <c r="Y79" s="1805"/>
      <c r="Z79" s="1805"/>
      <c r="AA79" s="1805"/>
      <c r="AB79" s="1805"/>
      <c r="AC79" s="1805"/>
      <c r="AD79" s="1805"/>
      <c r="AE79" s="22"/>
      <c r="AF79" s="22"/>
      <c r="AG79" s="22"/>
      <c r="AH79" s="22"/>
      <c r="AI79" s="22"/>
      <c r="AJ79" s="22"/>
    </row>
    <row r="80" spans="1:36" x14ac:dyDescent="0.2">
      <c r="A80" s="15" t="str">
        <f t="shared" si="0"/>
        <v>Obst-K2O-leicht-D</v>
      </c>
      <c r="B80" s="15" t="s">
        <v>3650</v>
      </c>
      <c r="C80" s="15" t="s">
        <v>3808</v>
      </c>
      <c r="D80" s="15" t="s">
        <v>3635</v>
      </c>
      <c r="E80" s="15" t="s">
        <v>3337</v>
      </c>
      <c r="F80" s="15">
        <v>0</v>
      </c>
      <c r="G80" s="1805"/>
      <c r="H80" s="22"/>
      <c r="I80" s="22"/>
      <c r="J80" s="22"/>
      <c r="K80" s="1805"/>
      <c r="L80" s="1805"/>
      <c r="M80" s="1805"/>
      <c r="N80" s="1805"/>
      <c r="O80" s="1805"/>
      <c r="P80" s="1805"/>
      <c r="Q80" s="1805"/>
      <c r="R80" s="1805"/>
      <c r="S80" s="1805"/>
      <c r="T80" s="1805"/>
      <c r="U80" s="1805"/>
      <c r="V80" s="1805"/>
      <c r="W80" s="1805"/>
      <c r="X80" s="1805"/>
      <c r="Y80" s="1805"/>
      <c r="Z80" s="1805"/>
      <c r="AA80" s="1805"/>
      <c r="AB80" s="1805"/>
      <c r="AC80" s="1805"/>
      <c r="AD80" s="1805"/>
      <c r="AE80" s="22"/>
      <c r="AF80" s="22"/>
      <c r="AG80" s="22"/>
      <c r="AH80" s="22"/>
      <c r="AI80" s="22"/>
      <c r="AJ80" s="22"/>
    </row>
    <row r="81" spans="1:36" x14ac:dyDescent="0.2">
      <c r="A81" s="15" t="str">
        <f t="shared" si="0"/>
        <v>Obst-K2O-mittel-A</v>
      </c>
      <c r="B81" s="15" t="s">
        <v>3650</v>
      </c>
      <c r="C81" s="15" t="s">
        <v>3808</v>
      </c>
      <c r="D81" s="15" t="s">
        <v>3453</v>
      </c>
      <c r="E81" s="15" t="s">
        <v>3330</v>
      </c>
      <c r="F81" s="15">
        <v>9</v>
      </c>
      <c r="G81" s="1805"/>
      <c r="H81" s="22"/>
      <c r="I81" s="22"/>
      <c r="J81" s="22"/>
      <c r="K81" s="1805"/>
      <c r="L81" s="1805"/>
      <c r="M81" s="1805"/>
      <c r="N81" s="1805"/>
      <c r="O81" s="1805"/>
      <c r="P81" s="1805"/>
      <c r="Q81" s="1805"/>
      <c r="R81" s="1805"/>
      <c r="S81" s="1805"/>
      <c r="T81" s="1805"/>
      <c r="U81" s="1805"/>
      <c r="V81" s="1805"/>
      <c r="W81" s="1805"/>
      <c r="X81" s="1805"/>
      <c r="Y81" s="1805"/>
      <c r="Z81" s="1805"/>
      <c r="AA81" s="1805"/>
      <c r="AB81" s="1805"/>
      <c r="AC81" s="1805"/>
      <c r="AD81" s="1805"/>
      <c r="AE81" s="22"/>
      <c r="AF81" s="22"/>
      <c r="AG81" s="22"/>
      <c r="AH81" s="22"/>
      <c r="AI81" s="22"/>
      <c r="AJ81" s="22"/>
    </row>
    <row r="82" spans="1:36" x14ac:dyDescent="0.2">
      <c r="A82" s="15" t="str">
        <f t="shared" si="0"/>
        <v>Obst-K2O-mittel-B</v>
      </c>
      <c r="B82" s="15" t="s">
        <v>3650</v>
      </c>
      <c r="C82" s="15" t="s">
        <v>3808</v>
      </c>
      <c r="D82" s="15" t="s">
        <v>3453</v>
      </c>
      <c r="E82" s="15" t="s">
        <v>3335</v>
      </c>
      <c r="F82" s="15">
        <v>0</v>
      </c>
      <c r="G82" s="1805"/>
      <c r="H82" s="22"/>
      <c r="I82" s="22"/>
      <c r="J82" s="22"/>
      <c r="K82" s="1805"/>
      <c r="L82" s="1805"/>
      <c r="M82" s="1805"/>
      <c r="N82" s="1805"/>
      <c r="O82" s="1805"/>
      <c r="P82" s="1805"/>
      <c r="Q82" s="1805"/>
      <c r="R82" s="1805"/>
      <c r="S82" s="1805"/>
      <c r="T82" s="1805"/>
      <c r="U82" s="1805"/>
      <c r="V82" s="1805"/>
      <c r="W82" s="1805"/>
      <c r="X82" s="1805"/>
      <c r="Y82" s="1805"/>
      <c r="Z82" s="1805"/>
      <c r="AA82" s="1805"/>
      <c r="AB82" s="1805"/>
      <c r="AC82" s="1805"/>
      <c r="AD82" s="1805"/>
      <c r="AE82" s="22"/>
      <c r="AF82" s="22"/>
      <c r="AG82" s="22"/>
      <c r="AH82" s="22"/>
      <c r="AI82" s="22"/>
      <c r="AJ82" s="22"/>
    </row>
    <row r="83" spans="1:36" x14ac:dyDescent="0.2">
      <c r="A83" s="15" t="str">
        <f t="shared" si="0"/>
        <v>Obst-K2O-mittel-C</v>
      </c>
      <c r="B83" s="15" t="s">
        <v>3650</v>
      </c>
      <c r="C83" s="15" t="s">
        <v>3808</v>
      </c>
      <c r="D83" s="15" t="s">
        <v>3453</v>
      </c>
      <c r="E83" s="15" t="s">
        <v>3336</v>
      </c>
      <c r="F83" s="15">
        <v>25</v>
      </c>
      <c r="G83" s="1805"/>
      <c r="H83" s="22"/>
      <c r="I83" s="22"/>
      <c r="J83" s="22"/>
      <c r="K83" s="1805"/>
      <c r="L83" s="1805"/>
      <c r="M83" s="1805"/>
      <c r="N83" s="1805"/>
      <c r="O83" s="1805"/>
      <c r="P83" s="1805"/>
      <c r="Q83" s="1805"/>
      <c r="R83" s="1805"/>
      <c r="S83" s="1805"/>
      <c r="T83" s="1805"/>
      <c r="U83" s="1805"/>
      <c r="V83" s="1805"/>
      <c r="W83" s="1805"/>
      <c r="X83" s="1805"/>
      <c r="Y83" s="1805"/>
      <c r="Z83" s="1805"/>
      <c r="AA83" s="1805"/>
      <c r="AB83" s="1805"/>
      <c r="AC83" s="1805"/>
      <c r="AD83" s="1805"/>
      <c r="AE83" s="22"/>
      <c r="AF83" s="22"/>
      <c r="AG83" s="22"/>
      <c r="AH83" s="22"/>
      <c r="AI83" s="22"/>
      <c r="AJ83" s="22"/>
    </row>
    <row r="84" spans="1:36" x14ac:dyDescent="0.2">
      <c r="A84" s="15" t="str">
        <f t="shared" si="0"/>
        <v>Obst-K2O-mittel-D</v>
      </c>
      <c r="B84" s="15" t="s">
        <v>3650</v>
      </c>
      <c r="C84" s="15" t="s">
        <v>3808</v>
      </c>
      <c r="D84" s="15" t="s">
        <v>3453</v>
      </c>
      <c r="E84" s="15" t="s">
        <v>3337</v>
      </c>
      <c r="F84" s="15">
        <v>0</v>
      </c>
      <c r="G84" s="1805"/>
      <c r="H84" s="22"/>
      <c r="I84" s="22"/>
      <c r="J84" s="22"/>
      <c r="K84" s="1805"/>
      <c r="L84" s="1805"/>
      <c r="M84" s="1805"/>
      <c r="N84" s="1805"/>
      <c r="O84" s="1805"/>
      <c r="P84" s="1805"/>
      <c r="Q84" s="1805"/>
      <c r="R84" s="1805"/>
      <c r="S84" s="1805"/>
      <c r="T84" s="1805"/>
      <c r="U84" s="1805"/>
      <c r="V84" s="1805"/>
      <c r="W84" s="1805"/>
      <c r="X84" s="1805"/>
      <c r="Y84" s="1805"/>
      <c r="Z84" s="1805"/>
      <c r="AA84" s="1805"/>
      <c r="AB84" s="1805"/>
      <c r="AC84" s="1805"/>
      <c r="AD84" s="1805"/>
      <c r="AE84" s="22"/>
      <c r="AF84" s="22"/>
      <c r="AG84" s="22"/>
      <c r="AH84" s="22"/>
      <c r="AI84" s="22"/>
      <c r="AJ84" s="22"/>
    </row>
    <row r="85" spans="1:36" x14ac:dyDescent="0.2">
      <c r="A85" s="15" t="str">
        <f t="shared" si="0"/>
        <v>Obst-K2O-Moor-A</v>
      </c>
      <c r="B85" s="4" t="s">
        <v>3650</v>
      </c>
      <c r="C85" s="15" t="s">
        <v>3808</v>
      </c>
      <c r="D85" s="15" t="s">
        <v>3369</v>
      </c>
      <c r="E85" s="15" t="s">
        <v>3330</v>
      </c>
      <c r="F85" s="15">
        <v>10</v>
      </c>
      <c r="G85" s="1805"/>
      <c r="H85" s="22"/>
      <c r="I85" s="22"/>
      <c r="J85" s="22"/>
      <c r="K85" s="1805"/>
      <c r="L85" s="1805"/>
      <c r="M85" s="1805"/>
      <c r="N85" s="1805"/>
      <c r="O85" s="1805"/>
      <c r="P85" s="1805"/>
      <c r="Q85" s="1805"/>
      <c r="R85" s="1805"/>
      <c r="S85" s="1805"/>
      <c r="T85" s="1805"/>
      <c r="U85" s="1805"/>
      <c r="V85" s="1805"/>
      <c r="W85" s="1805"/>
      <c r="X85" s="1805"/>
      <c r="Y85" s="1805"/>
      <c r="Z85" s="1805"/>
      <c r="AA85" s="1805"/>
      <c r="AB85" s="1805"/>
      <c r="AC85" s="1805"/>
      <c r="AD85" s="1805"/>
      <c r="AE85" s="22"/>
      <c r="AF85" s="22"/>
      <c r="AG85" s="22"/>
      <c r="AH85" s="22"/>
      <c r="AI85" s="22"/>
      <c r="AJ85" s="22"/>
    </row>
    <row r="86" spans="1:36" x14ac:dyDescent="0.2">
      <c r="A86" s="15" t="str">
        <f t="shared" si="0"/>
        <v>Obst-K2O-Moor-B</v>
      </c>
      <c r="B86" s="4" t="s">
        <v>3650</v>
      </c>
      <c r="C86" s="15" t="s">
        <v>3808</v>
      </c>
      <c r="D86" s="15" t="s">
        <v>3369</v>
      </c>
      <c r="E86" s="15" t="s">
        <v>3335</v>
      </c>
      <c r="F86" s="15">
        <v>20</v>
      </c>
      <c r="G86" s="1805"/>
      <c r="H86" s="22"/>
      <c r="I86" s="22"/>
      <c r="J86" s="22"/>
      <c r="K86" s="1805"/>
      <c r="L86" s="1805"/>
      <c r="M86" s="1805"/>
      <c r="N86" s="1805"/>
      <c r="O86" s="1805"/>
      <c r="P86" s="1805"/>
      <c r="Q86" s="1805"/>
      <c r="R86" s="1805"/>
      <c r="S86" s="1805"/>
      <c r="T86" s="1805"/>
      <c r="U86" s="1805"/>
      <c r="V86" s="1805"/>
      <c r="W86" s="1805"/>
      <c r="X86" s="1805"/>
      <c r="Y86" s="1805"/>
      <c r="Z86" s="1805"/>
      <c r="AA86" s="1805"/>
      <c r="AB86" s="1805"/>
      <c r="AC86" s="1805"/>
      <c r="AD86" s="1805"/>
      <c r="AE86" s="22"/>
      <c r="AF86" s="22"/>
      <c r="AG86" s="22"/>
      <c r="AH86" s="22"/>
      <c r="AI86" s="22"/>
      <c r="AJ86" s="22"/>
    </row>
    <row r="87" spans="1:36" x14ac:dyDescent="0.2">
      <c r="A87" s="15" t="str">
        <f t="shared" si="0"/>
        <v>Obst-K2O-Moor-C</v>
      </c>
      <c r="B87" s="4" t="s">
        <v>3650</v>
      </c>
      <c r="C87" s="15" t="s">
        <v>3808</v>
      </c>
      <c r="D87" s="15" t="s">
        <v>3369</v>
      </c>
      <c r="E87" s="15" t="s">
        <v>3336</v>
      </c>
      <c r="F87" s="15">
        <v>30</v>
      </c>
      <c r="G87" s="1805"/>
      <c r="H87" s="22"/>
      <c r="I87" s="22"/>
      <c r="J87" s="22"/>
      <c r="K87" s="1805"/>
      <c r="L87" s="1805"/>
      <c r="M87" s="1805"/>
      <c r="N87" s="1805"/>
      <c r="O87" s="1805"/>
      <c r="P87" s="1805"/>
      <c r="Q87" s="1805"/>
      <c r="R87" s="1805"/>
      <c r="S87" s="1805"/>
      <c r="T87" s="1805"/>
      <c r="U87" s="1805"/>
      <c r="V87" s="1805"/>
      <c r="W87" s="1805"/>
      <c r="X87" s="1805"/>
      <c r="Y87" s="1805"/>
      <c r="Z87" s="1805"/>
      <c r="AA87" s="1805"/>
      <c r="AB87" s="1805"/>
      <c r="AC87" s="1805"/>
      <c r="AD87" s="1805"/>
      <c r="AE87" s="22"/>
      <c r="AF87" s="22"/>
      <c r="AG87" s="22"/>
      <c r="AH87" s="22"/>
      <c r="AI87" s="22"/>
      <c r="AJ87" s="22"/>
    </row>
    <row r="88" spans="1:36" x14ac:dyDescent="0.2">
      <c r="A88" s="15" t="str">
        <f t="shared" si="0"/>
        <v>Obst-K2O-Moor-D</v>
      </c>
      <c r="B88" s="4" t="s">
        <v>3650</v>
      </c>
      <c r="C88" s="15" t="s">
        <v>3808</v>
      </c>
      <c r="D88" s="15" t="s">
        <v>3369</v>
      </c>
      <c r="E88" s="15" t="s">
        <v>3337</v>
      </c>
      <c r="F88" s="15">
        <v>40</v>
      </c>
      <c r="G88" s="1805"/>
      <c r="H88" s="22"/>
      <c r="I88" s="22"/>
      <c r="J88" s="22"/>
      <c r="K88" s="1805"/>
      <c r="L88" s="1805"/>
      <c r="M88" s="1805"/>
      <c r="N88" s="1805"/>
      <c r="O88" s="1805"/>
      <c r="P88" s="1805"/>
      <c r="Q88" s="1805"/>
      <c r="R88" s="1805"/>
      <c r="S88" s="1805"/>
      <c r="T88" s="1805"/>
      <c r="U88" s="1805"/>
      <c r="V88" s="1805"/>
      <c r="W88" s="1805"/>
      <c r="X88" s="1805"/>
      <c r="Y88" s="1805"/>
      <c r="Z88" s="1805"/>
      <c r="AA88" s="1805"/>
      <c r="AB88" s="1805"/>
      <c r="AC88" s="1805"/>
      <c r="AD88" s="1805"/>
      <c r="AE88" s="22"/>
      <c r="AF88" s="22"/>
      <c r="AG88" s="22"/>
      <c r="AH88" s="22"/>
      <c r="AI88" s="22"/>
      <c r="AJ88" s="22"/>
    </row>
    <row r="89" spans="1:36" x14ac:dyDescent="0.2">
      <c r="A89" s="15" t="str">
        <f t="shared" si="0"/>
        <v>Obst-K2O-schwer-A</v>
      </c>
      <c r="B89" s="15" t="s">
        <v>3650</v>
      </c>
      <c r="C89" s="15" t="s">
        <v>3808</v>
      </c>
      <c r="D89" s="15" t="s">
        <v>3640</v>
      </c>
      <c r="E89" s="15" t="s">
        <v>3330</v>
      </c>
      <c r="F89" s="15">
        <v>14</v>
      </c>
      <c r="G89" s="1805"/>
      <c r="H89" s="22"/>
      <c r="I89" s="22"/>
      <c r="J89" s="22"/>
      <c r="K89" s="1805"/>
      <c r="L89" s="1805"/>
      <c r="M89" s="1805"/>
      <c r="N89" s="1805"/>
      <c r="O89" s="1805"/>
      <c r="P89" s="1805"/>
      <c r="Q89" s="1805"/>
      <c r="R89" s="1805"/>
      <c r="S89" s="1805"/>
      <c r="T89" s="1805"/>
      <c r="U89" s="1805"/>
      <c r="V89" s="1805"/>
      <c r="W89" s="1805"/>
      <c r="X89" s="1805"/>
      <c r="Y89" s="1805"/>
      <c r="Z89" s="1805"/>
      <c r="AA89" s="1805"/>
      <c r="AB89" s="1805"/>
      <c r="AC89" s="1805"/>
      <c r="AD89" s="1805"/>
      <c r="AE89" s="22"/>
      <c r="AF89" s="22"/>
      <c r="AG89" s="22"/>
      <c r="AH89" s="22"/>
      <c r="AI89" s="22"/>
      <c r="AJ89" s="22"/>
    </row>
    <row r="90" spans="1:36" x14ac:dyDescent="0.2">
      <c r="A90" s="15" t="str">
        <f t="shared" si="0"/>
        <v>Obst-K2O-schwer-B</v>
      </c>
      <c r="B90" s="15" t="s">
        <v>3650</v>
      </c>
      <c r="C90" s="15" t="s">
        <v>3808</v>
      </c>
      <c r="D90" s="15" t="s">
        <v>3640</v>
      </c>
      <c r="E90" s="15" t="s">
        <v>3335</v>
      </c>
      <c r="F90" s="15">
        <v>0</v>
      </c>
      <c r="G90" s="1805"/>
      <c r="H90" s="22"/>
      <c r="I90" s="22"/>
      <c r="J90" s="22"/>
      <c r="K90" s="1805"/>
      <c r="L90" s="1805"/>
      <c r="M90" s="1805"/>
      <c r="N90" s="1805"/>
      <c r="O90" s="1805"/>
      <c r="P90" s="1805"/>
      <c r="Q90" s="1805"/>
      <c r="R90" s="1805"/>
      <c r="S90" s="1805"/>
      <c r="T90" s="1805"/>
      <c r="U90" s="1805"/>
      <c r="V90" s="1805"/>
      <c r="W90" s="1805"/>
      <c r="X90" s="1805"/>
      <c r="Y90" s="1805"/>
      <c r="Z90" s="1805"/>
      <c r="AA90" s="1805"/>
      <c r="AB90" s="1805"/>
      <c r="AC90" s="1805"/>
      <c r="AD90" s="1805"/>
      <c r="AE90" s="22"/>
      <c r="AF90" s="22"/>
      <c r="AG90" s="22"/>
      <c r="AH90" s="22"/>
      <c r="AI90" s="22"/>
      <c r="AJ90" s="22"/>
    </row>
    <row r="91" spans="1:36" x14ac:dyDescent="0.2">
      <c r="A91" s="15" t="str">
        <f t="shared" si="0"/>
        <v>Obst-K2O-schwer-C</v>
      </c>
      <c r="B91" s="15" t="s">
        <v>3650</v>
      </c>
      <c r="C91" s="15" t="s">
        <v>3808</v>
      </c>
      <c r="D91" s="15" t="s">
        <v>3640</v>
      </c>
      <c r="E91" s="15" t="s">
        <v>3336</v>
      </c>
      <c r="F91" s="15">
        <v>30</v>
      </c>
      <c r="G91" s="1805"/>
      <c r="H91" s="22"/>
      <c r="I91" s="22"/>
      <c r="J91" s="22"/>
      <c r="K91" s="1805"/>
      <c r="L91" s="1805"/>
      <c r="M91" s="1805"/>
      <c r="N91" s="1805"/>
      <c r="O91" s="1805"/>
      <c r="P91" s="1805"/>
      <c r="Q91" s="1805"/>
      <c r="R91" s="1805"/>
      <c r="S91" s="1805"/>
      <c r="T91" s="1805"/>
      <c r="U91" s="1805"/>
      <c r="V91" s="1805"/>
      <c r="W91" s="1805"/>
      <c r="X91" s="1805"/>
      <c r="Y91" s="1805"/>
      <c r="Z91" s="1805"/>
      <c r="AA91" s="1805"/>
      <c r="AB91" s="1805"/>
      <c r="AC91" s="1805"/>
      <c r="AD91" s="1805"/>
      <c r="AE91" s="22"/>
      <c r="AF91" s="22"/>
      <c r="AG91" s="22"/>
      <c r="AH91" s="22"/>
      <c r="AI91" s="22"/>
      <c r="AJ91" s="22"/>
    </row>
    <row r="92" spans="1:36" x14ac:dyDescent="0.2">
      <c r="A92" s="15" t="str">
        <f t="shared" si="0"/>
        <v>Obst-K2O-schwer-D</v>
      </c>
      <c r="B92" s="15" t="s">
        <v>3650</v>
      </c>
      <c r="C92" s="15" t="s">
        <v>3808</v>
      </c>
      <c r="D92" s="15" t="s">
        <v>3640</v>
      </c>
      <c r="E92" s="15" t="s">
        <v>3337</v>
      </c>
      <c r="F92" s="15">
        <v>0</v>
      </c>
      <c r="G92" s="1805"/>
      <c r="H92" s="22"/>
      <c r="I92" s="22"/>
      <c r="J92" s="22"/>
      <c r="K92" s="1805"/>
      <c r="L92" s="1805"/>
      <c r="M92" s="1805"/>
      <c r="N92" s="1805"/>
      <c r="O92" s="1805"/>
      <c r="P92" s="1805"/>
      <c r="Q92" s="1805"/>
      <c r="R92" s="1805"/>
      <c r="S92" s="1805"/>
      <c r="T92" s="1805"/>
      <c r="U92" s="1805"/>
      <c r="V92" s="1805"/>
      <c r="W92" s="1805"/>
      <c r="X92" s="1805"/>
      <c r="Y92" s="1805"/>
      <c r="Z92" s="1805"/>
      <c r="AA92" s="1805"/>
      <c r="AB92" s="1805"/>
      <c r="AC92" s="1805"/>
      <c r="AD92" s="1805"/>
      <c r="AE92" s="22"/>
      <c r="AF92" s="22"/>
      <c r="AG92" s="22"/>
      <c r="AH92" s="22"/>
      <c r="AI92" s="22"/>
      <c r="AJ92" s="22"/>
    </row>
    <row r="93" spans="1:36" x14ac:dyDescent="0.2">
      <c r="A93" s="15" t="str">
        <f t="shared" si="0"/>
        <v>Reben-K2O-leicht-A</v>
      </c>
      <c r="B93" s="15" t="s">
        <v>3651</v>
      </c>
      <c r="C93" s="15" t="s">
        <v>3808</v>
      </c>
      <c r="D93" s="15" t="s">
        <v>3635</v>
      </c>
      <c r="E93" s="15" t="s">
        <v>3330</v>
      </c>
      <c r="F93" s="15">
        <v>14</v>
      </c>
      <c r="G93" s="1805"/>
      <c r="H93" s="22"/>
      <c r="I93" s="22"/>
      <c r="J93" s="22"/>
      <c r="K93" s="1805"/>
      <c r="L93" s="1805"/>
      <c r="M93" s="1805"/>
      <c r="N93" s="1805"/>
      <c r="O93" s="1805"/>
      <c r="P93" s="1805"/>
      <c r="Q93" s="1805"/>
      <c r="R93" s="1805"/>
      <c r="S93" s="1805"/>
      <c r="T93" s="1805"/>
      <c r="U93" s="1805"/>
      <c r="V93" s="1805"/>
      <c r="W93" s="1805"/>
      <c r="X93" s="1805"/>
      <c r="Y93" s="1805"/>
      <c r="Z93" s="1805"/>
      <c r="AA93" s="1805"/>
      <c r="AB93" s="1805"/>
      <c r="AC93" s="1805"/>
      <c r="AD93" s="1805"/>
      <c r="AE93" s="22"/>
      <c r="AF93" s="22"/>
      <c r="AG93" s="22"/>
      <c r="AH93" s="22"/>
      <c r="AI93" s="22"/>
      <c r="AJ93" s="22"/>
    </row>
    <row r="94" spans="1:36" x14ac:dyDescent="0.2">
      <c r="A94" s="15" t="str">
        <f t="shared" si="0"/>
        <v>Reben-K2O-leicht-B</v>
      </c>
      <c r="B94" s="15" t="s">
        <v>3651</v>
      </c>
      <c r="C94" s="15" t="s">
        <v>3808</v>
      </c>
      <c r="D94" s="15" t="s">
        <v>3635</v>
      </c>
      <c r="E94" s="15" t="s">
        <v>3335</v>
      </c>
      <c r="F94" s="15">
        <v>0</v>
      </c>
      <c r="G94" s="1805"/>
      <c r="H94" s="22"/>
      <c r="I94" s="22"/>
      <c r="J94" s="22"/>
      <c r="K94" s="1805"/>
      <c r="L94" s="1805"/>
      <c r="M94" s="1805"/>
      <c r="N94" s="1805"/>
      <c r="O94" s="1805"/>
      <c r="P94" s="1805"/>
      <c r="Q94" s="1805"/>
      <c r="R94" s="1805"/>
      <c r="S94" s="1805"/>
      <c r="T94" s="1805"/>
      <c r="U94" s="1805"/>
      <c r="V94" s="1805"/>
      <c r="W94" s="1805"/>
      <c r="X94" s="1805"/>
      <c r="Y94" s="1805"/>
      <c r="Z94" s="1805"/>
      <c r="AA94" s="1805"/>
      <c r="AB94" s="1805"/>
      <c r="AC94" s="1805"/>
      <c r="AD94" s="1805"/>
      <c r="AE94" s="22"/>
      <c r="AF94" s="22"/>
      <c r="AG94" s="22"/>
      <c r="AH94" s="22"/>
      <c r="AI94" s="22"/>
      <c r="AJ94" s="22"/>
    </row>
    <row r="95" spans="1:36" x14ac:dyDescent="0.2">
      <c r="A95" s="15" t="str">
        <f t="shared" si="0"/>
        <v>Reben-K2O-leicht-C</v>
      </c>
      <c r="B95" s="15" t="s">
        <v>3651</v>
      </c>
      <c r="C95" s="15" t="s">
        <v>3808</v>
      </c>
      <c r="D95" s="15" t="s">
        <v>3635</v>
      </c>
      <c r="E95" s="15" t="s">
        <v>3336</v>
      </c>
      <c r="F95" s="15">
        <v>34</v>
      </c>
      <c r="G95" s="1805"/>
      <c r="H95" s="22"/>
      <c r="I95" s="22"/>
      <c r="J95" s="22"/>
      <c r="K95" s="1805"/>
      <c r="L95" s="1805"/>
      <c r="M95" s="1805"/>
      <c r="N95" s="1805"/>
      <c r="O95" s="1805"/>
      <c r="P95" s="1805"/>
      <c r="Q95" s="1805"/>
      <c r="R95" s="1805"/>
      <c r="S95" s="1805"/>
      <c r="T95" s="1805"/>
      <c r="U95" s="1805"/>
      <c r="V95" s="1805"/>
      <c r="W95" s="1805"/>
      <c r="X95" s="1805"/>
      <c r="Y95" s="1805"/>
      <c r="Z95" s="1805"/>
      <c r="AA95" s="1805"/>
      <c r="AB95" s="1805"/>
      <c r="AC95" s="1805"/>
      <c r="AD95" s="1805"/>
      <c r="AE95" s="22"/>
      <c r="AF95" s="22"/>
      <c r="AG95" s="22"/>
      <c r="AH95" s="22"/>
      <c r="AI95" s="22"/>
      <c r="AJ95" s="22"/>
    </row>
    <row r="96" spans="1:36" x14ac:dyDescent="0.2">
      <c r="A96" s="15" t="str">
        <f t="shared" si="0"/>
        <v>Reben-K2O-leicht-D</v>
      </c>
      <c r="B96" s="15" t="s">
        <v>3651</v>
      </c>
      <c r="C96" s="15" t="s">
        <v>3808</v>
      </c>
      <c r="D96" s="15" t="s">
        <v>3635</v>
      </c>
      <c r="E96" s="15" t="s">
        <v>3337</v>
      </c>
      <c r="F96" s="15">
        <v>0</v>
      </c>
      <c r="G96" s="1805"/>
      <c r="H96" s="22"/>
      <c r="I96" s="22"/>
      <c r="J96" s="22"/>
      <c r="K96" s="1805"/>
      <c r="L96" s="1805"/>
      <c r="M96" s="1805"/>
      <c r="N96" s="1805"/>
      <c r="O96" s="1805"/>
      <c r="P96" s="1805"/>
      <c r="Q96" s="1805"/>
      <c r="R96" s="1805"/>
      <c r="S96" s="1805"/>
      <c r="T96" s="1805"/>
      <c r="U96" s="1805"/>
      <c r="V96" s="1805"/>
      <c r="W96" s="1805"/>
      <c r="X96" s="1805"/>
      <c r="Y96" s="1805"/>
      <c r="Z96" s="1805"/>
      <c r="AA96" s="1805"/>
      <c r="AB96" s="1805"/>
      <c r="AC96" s="1805"/>
      <c r="AD96" s="1805"/>
      <c r="AE96" s="22"/>
      <c r="AF96" s="22"/>
      <c r="AG96" s="22"/>
      <c r="AH96" s="22"/>
      <c r="AI96" s="22"/>
      <c r="AJ96" s="22"/>
    </row>
    <row r="97" spans="1:36" x14ac:dyDescent="0.2">
      <c r="A97" s="15" t="str">
        <f t="shared" si="0"/>
        <v>Reben-K2O-mittel-A</v>
      </c>
      <c r="B97" s="15" t="s">
        <v>3651</v>
      </c>
      <c r="C97" s="15" t="s">
        <v>3808</v>
      </c>
      <c r="D97" s="15" t="s">
        <v>3453</v>
      </c>
      <c r="E97" s="15" t="s">
        <v>3330</v>
      </c>
      <c r="F97" s="15">
        <v>14</v>
      </c>
      <c r="G97" s="1805"/>
      <c r="H97" s="22"/>
      <c r="I97" s="22"/>
      <c r="J97" s="22"/>
      <c r="K97" s="1805"/>
      <c r="L97" s="1805"/>
      <c r="M97" s="1805"/>
      <c r="N97" s="1805"/>
      <c r="O97" s="1805"/>
      <c r="P97" s="1805"/>
      <c r="Q97" s="1805"/>
      <c r="R97" s="1805"/>
      <c r="S97" s="1805"/>
      <c r="T97" s="1805"/>
      <c r="U97" s="1805"/>
      <c r="V97" s="1805"/>
      <c r="W97" s="1805"/>
      <c r="X97" s="1805"/>
      <c r="Y97" s="1805"/>
      <c r="Z97" s="1805"/>
      <c r="AA97" s="1805"/>
      <c r="AB97" s="1805"/>
      <c r="AC97" s="1805"/>
      <c r="AD97" s="1805"/>
      <c r="AE97" s="22"/>
      <c r="AF97" s="22"/>
      <c r="AG97" s="22"/>
      <c r="AH97" s="22"/>
      <c r="AI97" s="22"/>
      <c r="AJ97" s="22"/>
    </row>
    <row r="98" spans="1:36" x14ac:dyDescent="0.2">
      <c r="A98" s="15" t="str">
        <f t="shared" si="0"/>
        <v>Reben-K2O-mittel-B</v>
      </c>
      <c r="B98" s="15" t="s">
        <v>3651</v>
      </c>
      <c r="C98" s="15" t="s">
        <v>3808</v>
      </c>
      <c r="D98" s="15" t="s">
        <v>3453</v>
      </c>
      <c r="E98" s="15" t="s">
        <v>3335</v>
      </c>
      <c r="F98" s="15">
        <v>0</v>
      </c>
      <c r="G98" s="1805"/>
      <c r="H98" s="22"/>
      <c r="I98" s="22"/>
      <c r="J98" s="22"/>
      <c r="K98" s="1805"/>
      <c r="L98" s="1805"/>
      <c r="M98" s="1805"/>
      <c r="N98" s="1805"/>
      <c r="O98" s="1805"/>
      <c r="P98" s="1805"/>
      <c r="Q98" s="1805"/>
      <c r="R98" s="1805"/>
      <c r="S98" s="1805"/>
      <c r="T98" s="1805"/>
      <c r="U98" s="1805"/>
      <c r="V98" s="1805"/>
      <c r="W98" s="1805"/>
      <c r="X98" s="1805"/>
      <c r="Y98" s="1805"/>
      <c r="Z98" s="1805"/>
      <c r="AA98" s="1805"/>
      <c r="AB98" s="1805"/>
      <c r="AC98" s="1805"/>
      <c r="AD98" s="1805"/>
      <c r="AE98" s="22"/>
      <c r="AF98" s="22"/>
      <c r="AG98" s="22"/>
      <c r="AH98" s="22"/>
      <c r="AI98" s="22"/>
      <c r="AJ98" s="22"/>
    </row>
    <row r="99" spans="1:36" x14ac:dyDescent="0.2">
      <c r="A99" s="15" t="str">
        <f t="shared" si="0"/>
        <v>Reben-K2O-mittel-C</v>
      </c>
      <c r="B99" s="15" t="s">
        <v>3651</v>
      </c>
      <c r="C99" s="15" t="s">
        <v>3808</v>
      </c>
      <c r="D99" s="15" t="s">
        <v>3453</v>
      </c>
      <c r="E99" s="15" t="s">
        <v>3336</v>
      </c>
      <c r="F99" s="15">
        <v>34</v>
      </c>
      <c r="G99" s="1805"/>
      <c r="H99" s="22"/>
      <c r="I99" s="22"/>
      <c r="J99" s="22"/>
      <c r="K99" s="1805"/>
      <c r="L99" s="1805"/>
      <c r="M99" s="1805"/>
      <c r="N99" s="1805"/>
      <c r="O99" s="1805"/>
      <c r="P99" s="1805"/>
      <c r="Q99" s="1805"/>
      <c r="R99" s="1805"/>
      <c r="S99" s="1805"/>
      <c r="T99" s="1805"/>
      <c r="U99" s="1805"/>
      <c r="V99" s="1805"/>
      <c r="W99" s="1805"/>
      <c r="X99" s="1805"/>
      <c r="Y99" s="1805"/>
      <c r="Z99" s="1805"/>
      <c r="AA99" s="1805"/>
      <c r="AB99" s="1805"/>
      <c r="AC99" s="1805"/>
      <c r="AD99" s="1805"/>
      <c r="AE99" s="22"/>
      <c r="AF99" s="22"/>
      <c r="AG99" s="22"/>
      <c r="AH99" s="22"/>
      <c r="AI99" s="22"/>
      <c r="AJ99" s="22"/>
    </row>
    <row r="100" spans="1:36" x14ac:dyDescent="0.2">
      <c r="A100" s="15" t="str">
        <f t="shared" si="0"/>
        <v>Reben-K2O-mittel-D</v>
      </c>
      <c r="B100" s="15" t="s">
        <v>3651</v>
      </c>
      <c r="C100" s="15" t="s">
        <v>3808</v>
      </c>
      <c r="D100" s="15" t="s">
        <v>3453</v>
      </c>
      <c r="E100" s="15" t="s">
        <v>3337</v>
      </c>
      <c r="F100" s="15">
        <v>0</v>
      </c>
      <c r="G100" s="1805"/>
      <c r="H100" s="22"/>
      <c r="I100" s="22"/>
      <c r="J100" s="22"/>
      <c r="K100" s="1805"/>
      <c r="L100" s="1805"/>
      <c r="M100" s="1805"/>
      <c r="N100" s="1805"/>
      <c r="O100" s="1805"/>
      <c r="P100" s="1805"/>
      <c r="Q100" s="1805"/>
      <c r="R100" s="1805"/>
      <c r="S100" s="1805"/>
      <c r="T100" s="1805"/>
      <c r="U100" s="1805"/>
      <c r="V100" s="1805"/>
      <c r="W100" s="1805"/>
      <c r="X100" s="1805"/>
      <c r="Y100" s="1805"/>
      <c r="Z100" s="1805"/>
      <c r="AA100" s="1805"/>
      <c r="AB100" s="1805"/>
      <c r="AC100" s="1805"/>
      <c r="AD100" s="1805"/>
      <c r="AE100" s="22"/>
      <c r="AF100" s="22"/>
      <c r="AG100" s="22"/>
      <c r="AH100" s="22"/>
      <c r="AI100" s="22"/>
      <c r="AJ100" s="22"/>
    </row>
    <row r="101" spans="1:36" x14ac:dyDescent="0.2">
      <c r="A101" s="15" t="str">
        <f t="shared" si="0"/>
        <v>Reben-K2O-Moor-A</v>
      </c>
      <c r="B101" s="4" t="s">
        <v>3651</v>
      </c>
      <c r="C101" s="15" t="s">
        <v>3808</v>
      </c>
      <c r="D101" s="15" t="s">
        <v>3369</v>
      </c>
      <c r="E101" s="15" t="s">
        <v>3330</v>
      </c>
      <c r="F101" s="15">
        <v>10</v>
      </c>
      <c r="G101" s="1805"/>
      <c r="H101" s="22"/>
      <c r="I101" s="22"/>
      <c r="J101" s="22"/>
      <c r="K101" s="1805"/>
      <c r="L101" s="1805"/>
      <c r="M101" s="1805"/>
      <c r="N101" s="1805"/>
      <c r="O101" s="1805"/>
      <c r="P101" s="1805"/>
      <c r="Q101" s="1805"/>
      <c r="R101" s="1805"/>
      <c r="S101" s="1805"/>
      <c r="T101" s="1805"/>
      <c r="U101" s="1805"/>
      <c r="V101" s="1805"/>
      <c r="W101" s="1805"/>
      <c r="X101" s="1805"/>
      <c r="Y101" s="1805"/>
      <c r="Z101" s="1805"/>
      <c r="AA101" s="1805"/>
      <c r="AB101" s="1805"/>
      <c r="AC101" s="1805"/>
      <c r="AD101" s="1805"/>
      <c r="AE101" s="22"/>
      <c r="AF101" s="22"/>
      <c r="AG101" s="22"/>
      <c r="AH101" s="22"/>
      <c r="AI101" s="22"/>
      <c r="AJ101" s="22"/>
    </row>
    <row r="102" spans="1:36" x14ac:dyDescent="0.2">
      <c r="A102" s="15" t="str">
        <f t="shared" si="0"/>
        <v>Reben-K2O-Moor-B</v>
      </c>
      <c r="B102" s="4" t="s">
        <v>3651</v>
      </c>
      <c r="C102" s="15" t="s">
        <v>3808</v>
      </c>
      <c r="D102" s="15" t="s">
        <v>3369</v>
      </c>
      <c r="E102" s="15" t="s">
        <v>3335</v>
      </c>
      <c r="F102" s="15">
        <v>20</v>
      </c>
      <c r="G102" s="1805"/>
      <c r="H102" s="22"/>
      <c r="I102" s="22"/>
      <c r="J102" s="22"/>
      <c r="K102" s="1805"/>
      <c r="L102" s="1805"/>
      <c r="M102" s="1805"/>
      <c r="N102" s="1805"/>
      <c r="O102" s="1805"/>
      <c r="P102" s="1805"/>
      <c r="Q102" s="1805"/>
      <c r="R102" s="1805"/>
      <c r="S102" s="1805"/>
      <c r="T102" s="1805"/>
      <c r="U102" s="1805"/>
      <c r="V102" s="1805"/>
      <c r="W102" s="1805"/>
      <c r="X102" s="1805"/>
      <c r="Y102" s="1805"/>
      <c r="Z102" s="1805"/>
      <c r="AA102" s="1805"/>
      <c r="AB102" s="1805"/>
      <c r="AC102" s="1805"/>
      <c r="AD102" s="1805"/>
      <c r="AE102" s="22"/>
      <c r="AF102" s="22"/>
      <c r="AG102" s="22"/>
      <c r="AH102" s="22"/>
      <c r="AI102" s="22"/>
      <c r="AJ102" s="22"/>
    </row>
    <row r="103" spans="1:36" x14ac:dyDescent="0.2">
      <c r="A103" s="15" t="str">
        <f t="shared" si="0"/>
        <v>Reben-K2O-Moor-C</v>
      </c>
      <c r="B103" s="4" t="s">
        <v>3651</v>
      </c>
      <c r="C103" s="15" t="s">
        <v>3808</v>
      </c>
      <c r="D103" s="15" t="s">
        <v>3369</v>
      </c>
      <c r="E103" s="15" t="s">
        <v>3336</v>
      </c>
      <c r="F103" s="15">
        <v>30</v>
      </c>
      <c r="G103" s="1805"/>
      <c r="H103" s="22"/>
      <c r="I103" s="22"/>
      <c r="J103" s="22"/>
      <c r="K103" s="1805"/>
      <c r="L103" s="1805"/>
      <c r="M103" s="1805"/>
      <c r="N103" s="1805"/>
      <c r="O103" s="1805"/>
      <c r="P103" s="1805"/>
      <c r="Q103" s="1805"/>
      <c r="R103" s="1805"/>
      <c r="S103" s="1805"/>
      <c r="T103" s="1805"/>
      <c r="U103" s="1805"/>
      <c r="V103" s="1805"/>
      <c r="W103" s="1805"/>
      <c r="X103" s="1805"/>
      <c r="Y103" s="1805"/>
      <c r="Z103" s="1805"/>
      <c r="AA103" s="1805"/>
      <c r="AB103" s="1805"/>
      <c r="AC103" s="1805"/>
      <c r="AD103" s="1805"/>
      <c r="AE103" s="22"/>
      <c r="AF103" s="22"/>
      <c r="AG103" s="22"/>
      <c r="AH103" s="22"/>
      <c r="AI103" s="22"/>
      <c r="AJ103" s="22"/>
    </row>
    <row r="104" spans="1:36" x14ac:dyDescent="0.2">
      <c r="A104" s="15" t="str">
        <f t="shared" si="0"/>
        <v>Reben-K2O-Moor-D</v>
      </c>
      <c r="B104" s="4" t="s">
        <v>3651</v>
      </c>
      <c r="C104" s="15" t="s">
        <v>3808</v>
      </c>
      <c r="D104" s="15" t="s">
        <v>3369</v>
      </c>
      <c r="E104" s="15" t="s">
        <v>3337</v>
      </c>
      <c r="F104" s="15">
        <v>40</v>
      </c>
      <c r="G104" s="1805"/>
      <c r="H104" s="22"/>
      <c r="I104" s="22"/>
      <c r="J104" s="22"/>
      <c r="K104" s="1805"/>
      <c r="L104" s="1805"/>
      <c r="M104" s="1805"/>
      <c r="N104" s="1805"/>
      <c r="O104" s="1805"/>
      <c r="P104" s="1805"/>
      <c r="Q104" s="1805"/>
      <c r="R104" s="1805"/>
      <c r="S104" s="1805"/>
      <c r="T104" s="1805"/>
      <c r="U104" s="1805"/>
      <c r="V104" s="1805"/>
      <c r="W104" s="1805"/>
      <c r="X104" s="1805"/>
      <c r="Y104" s="1805"/>
      <c r="Z104" s="1805"/>
      <c r="AA104" s="1805"/>
      <c r="AB104" s="1805"/>
      <c r="AC104" s="1805"/>
      <c r="AD104" s="1805"/>
      <c r="AE104" s="22"/>
      <c r="AF104" s="22"/>
      <c r="AG104" s="22"/>
      <c r="AH104" s="22"/>
      <c r="AI104" s="22"/>
      <c r="AJ104" s="22"/>
    </row>
    <row r="105" spans="1:36" x14ac:dyDescent="0.2">
      <c r="A105" s="15" t="str">
        <f t="shared" si="0"/>
        <v>Reben-K2O-schwer-A</v>
      </c>
      <c r="B105" s="15" t="s">
        <v>3651</v>
      </c>
      <c r="C105" s="15" t="s">
        <v>3808</v>
      </c>
      <c r="D105" s="15" t="s">
        <v>3640</v>
      </c>
      <c r="E105" s="15" t="s">
        <v>3330</v>
      </c>
      <c r="F105" s="15">
        <v>17</v>
      </c>
      <c r="G105" s="1805"/>
      <c r="H105" s="22"/>
      <c r="I105" s="22"/>
      <c r="J105" s="22"/>
      <c r="K105" s="1805"/>
      <c r="L105" s="1805"/>
      <c r="M105" s="1805"/>
      <c r="N105" s="1805"/>
      <c r="O105" s="1805"/>
      <c r="P105" s="1805"/>
      <c r="Q105" s="1805"/>
      <c r="R105" s="1805"/>
      <c r="S105" s="1805"/>
      <c r="T105" s="1805"/>
      <c r="U105" s="1805"/>
      <c r="V105" s="1805"/>
      <c r="W105" s="1805"/>
      <c r="X105" s="1805"/>
      <c r="Y105" s="1805"/>
      <c r="Z105" s="1805"/>
      <c r="AA105" s="1805"/>
      <c r="AB105" s="1805"/>
      <c r="AC105" s="1805"/>
      <c r="AD105" s="1805"/>
      <c r="AE105" s="22"/>
      <c r="AF105" s="22"/>
      <c r="AG105" s="22"/>
      <c r="AH105" s="22"/>
      <c r="AI105" s="22"/>
      <c r="AJ105" s="22"/>
    </row>
    <row r="106" spans="1:36" x14ac:dyDescent="0.2">
      <c r="A106" s="15" t="str">
        <f t="shared" si="0"/>
        <v>Reben-K2O-schwer-B</v>
      </c>
      <c r="B106" s="15" t="s">
        <v>3651</v>
      </c>
      <c r="C106" s="15" t="s">
        <v>3808</v>
      </c>
      <c r="D106" s="15" t="s">
        <v>3640</v>
      </c>
      <c r="E106" s="15" t="s">
        <v>3335</v>
      </c>
      <c r="F106" s="15">
        <v>0</v>
      </c>
      <c r="G106" s="1805"/>
      <c r="H106" s="22"/>
      <c r="I106" s="22"/>
      <c r="J106" s="22"/>
      <c r="K106" s="1805"/>
      <c r="L106" s="1805"/>
      <c r="M106" s="1805"/>
      <c r="N106" s="1805"/>
      <c r="O106" s="1805"/>
      <c r="P106" s="1805"/>
      <c r="Q106" s="1805"/>
      <c r="R106" s="1805"/>
      <c r="S106" s="1805"/>
      <c r="T106" s="1805"/>
      <c r="U106" s="1805"/>
      <c r="V106" s="1805"/>
      <c r="W106" s="1805"/>
      <c r="X106" s="1805"/>
      <c r="Y106" s="1805"/>
      <c r="Z106" s="1805"/>
      <c r="AA106" s="1805"/>
      <c r="AB106" s="1805"/>
      <c r="AC106" s="1805"/>
      <c r="AD106" s="1805"/>
      <c r="AE106" s="22"/>
      <c r="AF106" s="22"/>
      <c r="AG106" s="22"/>
      <c r="AH106" s="22"/>
      <c r="AI106" s="22"/>
      <c r="AJ106" s="22"/>
    </row>
    <row r="107" spans="1:36" x14ac:dyDescent="0.2">
      <c r="A107" s="15" t="str">
        <f t="shared" si="0"/>
        <v>Reben-K2O-schwer-C</v>
      </c>
      <c r="B107" s="15" t="s">
        <v>3651</v>
      </c>
      <c r="C107" s="15" t="s">
        <v>3808</v>
      </c>
      <c r="D107" s="15" t="s">
        <v>3640</v>
      </c>
      <c r="E107" s="15" t="s">
        <v>3336</v>
      </c>
      <c r="F107" s="15">
        <v>37</v>
      </c>
      <c r="G107" s="1805"/>
      <c r="H107" s="22"/>
      <c r="I107" s="22"/>
      <c r="J107" s="22"/>
      <c r="K107" s="1805"/>
      <c r="L107" s="1805"/>
      <c r="M107" s="1805"/>
      <c r="N107" s="1805"/>
      <c r="O107" s="1805"/>
      <c r="P107" s="1805"/>
      <c r="Q107" s="1805"/>
      <c r="R107" s="1805"/>
      <c r="S107" s="1805"/>
      <c r="T107" s="1805"/>
      <c r="U107" s="1805"/>
      <c r="V107" s="1805"/>
      <c r="W107" s="1805"/>
      <c r="X107" s="1805"/>
      <c r="Y107" s="1805"/>
      <c r="Z107" s="1805"/>
      <c r="AA107" s="1805"/>
      <c r="AB107" s="1805"/>
      <c r="AC107" s="1805"/>
      <c r="AD107" s="1805"/>
      <c r="AE107" s="22"/>
      <c r="AF107" s="22"/>
      <c r="AG107" s="22"/>
      <c r="AH107" s="22"/>
      <c r="AI107" s="22"/>
      <c r="AJ107" s="22"/>
    </row>
    <row r="108" spans="1:36" x14ac:dyDescent="0.2">
      <c r="A108" s="15" t="str">
        <f t="shared" si="0"/>
        <v>Reben-K2O-schwer-D</v>
      </c>
      <c r="B108" s="15" t="s">
        <v>3651</v>
      </c>
      <c r="C108" s="15" t="s">
        <v>3808</v>
      </c>
      <c r="D108" s="15" t="s">
        <v>3640</v>
      </c>
      <c r="E108" s="15" t="s">
        <v>3337</v>
      </c>
      <c r="F108" s="15">
        <v>0</v>
      </c>
      <c r="G108" s="1805"/>
      <c r="H108" s="22"/>
      <c r="I108" s="22"/>
      <c r="J108" s="22"/>
      <c r="K108" s="1805"/>
      <c r="L108" s="1805"/>
      <c r="M108" s="1805"/>
      <c r="N108" s="1805"/>
      <c r="O108" s="1805"/>
      <c r="P108" s="1805"/>
      <c r="Q108" s="1805"/>
      <c r="R108" s="1805"/>
      <c r="S108" s="1805"/>
      <c r="T108" s="1805"/>
      <c r="U108" s="1805"/>
      <c r="V108" s="1805"/>
      <c r="W108" s="1805"/>
      <c r="X108" s="1805"/>
      <c r="Y108" s="1805"/>
      <c r="Z108" s="1805"/>
      <c r="AA108" s="1805"/>
      <c r="AB108" s="1805"/>
      <c r="AC108" s="1805"/>
      <c r="AD108" s="1805"/>
      <c r="AE108" s="22"/>
      <c r="AF108" s="22"/>
      <c r="AG108" s="22"/>
      <c r="AH108" s="22"/>
      <c r="AI108" s="22"/>
      <c r="AJ108" s="22"/>
    </row>
    <row r="109" spans="1:36" x14ac:dyDescent="0.2">
      <c r="A109" s="15" t="str">
        <f t="shared" ref="A109:A172" si="1">B109&amp;"-"&amp;C109&amp;"-"&amp;D109&amp;"-"&amp;E109</f>
        <v>Grünland-K2O-leicht-A</v>
      </c>
      <c r="B109" s="15" t="s">
        <v>3311</v>
      </c>
      <c r="C109" s="15" t="s">
        <v>3808</v>
      </c>
      <c r="D109" s="15" t="s">
        <v>3635</v>
      </c>
      <c r="E109" s="15" t="s">
        <v>3330</v>
      </c>
      <c r="F109" s="15">
        <v>6</v>
      </c>
      <c r="G109" s="1805"/>
      <c r="H109" s="22"/>
      <c r="I109" s="22"/>
      <c r="J109" s="22"/>
      <c r="K109" s="1805"/>
      <c r="L109" s="1805"/>
      <c r="M109" s="1805"/>
      <c r="N109" s="1805"/>
      <c r="O109" s="1805"/>
      <c r="P109" s="1805"/>
      <c r="Q109" s="1805"/>
      <c r="R109" s="1805"/>
      <c r="S109" s="1805"/>
      <c r="T109" s="1805"/>
      <c r="U109" s="1805"/>
      <c r="V109" s="1805"/>
      <c r="W109" s="1805"/>
      <c r="X109" s="1805"/>
      <c r="Y109" s="1805"/>
      <c r="Z109" s="1805"/>
      <c r="AA109" s="1805"/>
      <c r="AB109" s="1805"/>
      <c r="AC109" s="1805"/>
      <c r="AD109" s="1805"/>
      <c r="AE109" s="22"/>
      <c r="AF109" s="22"/>
      <c r="AG109" s="22"/>
      <c r="AH109" s="22"/>
      <c r="AI109" s="22"/>
      <c r="AJ109" s="22"/>
    </row>
    <row r="110" spans="1:36" x14ac:dyDescent="0.2">
      <c r="A110" s="15" t="str">
        <f t="shared" si="1"/>
        <v>Grünland-K2O-leicht-B</v>
      </c>
      <c r="B110" s="15" t="s">
        <v>3311</v>
      </c>
      <c r="C110" s="15" t="s">
        <v>3808</v>
      </c>
      <c r="D110" s="15" t="s">
        <v>3635</v>
      </c>
      <c r="E110" s="15" t="s">
        <v>3335</v>
      </c>
      <c r="F110" s="15">
        <v>14</v>
      </c>
      <c r="G110" s="1805"/>
      <c r="H110" s="22"/>
      <c r="I110" s="22"/>
      <c r="J110" s="22"/>
      <c r="K110" s="1805"/>
      <c r="L110" s="1805"/>
      <c r="M110" s="1805"/>
      <c r="N110" s="1805"/>
      <c r="O110" s="1805"/>
      <c r="P110" s="1805"/>
      <c r="Q110" s="1805"/>
      <c r="R110" s="1805"/>
      <c r="S110" s="1805"/>
      <c r="T110" s="1805"/>
      <c r="U110" s="1805"/>
      <c r="V110" s="1805"/>
      <c r="W110" s="1805"/>
      <c r="X110" s="1805"/>
      <c r="Y110" s="1805"/>
      <c r="Z110" s="1805"/>
      <c r="AA110" s="1805"/>
      <c r="AB110" s="1805"/>
      <c r="AC110" s="1805"/>
      <c r="AD110" s="1805"/>
      <c r="AE110" s="22"/>
      <c r="AF110" s="22"/>
      <c r="AG110" s="22"/>
      <c r="AH110" s="22"/>
      <c r="AI110" s="22"/>
      <c r="AJ110" s="22"/>
    </row>
    <row r="111" spans="1:36" x14ac:dyDescent="0.2">
      <c r="A111" s="15" t="str">
        <f t="shared" si="1"/>
        <v>Grünland-K2O-leicht-C</v>
      </c>
      <c r="B111" s="15" t="s">
        <v>3311</v>
      </c>
      <c r="C111" s="15" t="s">
        <v>3808</v>
      </c>
      <c r="D111" s="15" t="s">
        <v>3635</v>
      </c>
      <c r="E111" s="15" t="s">
        <v>3336</v>
      </c>
      <c r="F111" s="15">
        <v>25</v>
      </c>
      <c r="G111" s="1805"/>
      <c r="H111" s="22"/>
      <c r="I111" s="22"/>
      <c r="J111" s="22"/>
      <c r="K111" s="1805"/>
      <c r="L111" s="1805"/>
      <c r="M111" s="1805"/>
      <c r="N111" s="1805"/>
      <c r="O111" s="1805"/>
      <c r="P111" s="1805"/>
      <c r="Q111" s="1805"/>
      <c r="R111" s="1805"/>
      <c r="S111" s="1805"/>
      <c r="T111" s="1805"/>
      <c r="U111" s="1805"/>
      <c r="V111" s="1805"/>
      <c r="W111" s="1805"/>
      <c r="X111" s="1805"/>
      <c r="Y111" s="1805"/>
      <c r="Z111" s="1805"/>
      <c r="AA111" s="1805"/>
      <c r="AB111" s="1805"/>
      <c r="AC111" s="1805"/>
      <c r="AD111" s="1805"/>
      <c r="AE111" s="22"/>
      <c r="AF111" s="22"/>
      <c r="AG111" s="22"/>
      <c r="AH111" s="22"/>
      <c r="AI111" s="22"/>
      <c r="AJ111" s="22"/>
    </row>
    <row r="112" spans="1:36" x14ac:dyDescent="0.2">
      <c r="A112" s="15" t="str">
        <f t="shared" si="1"/>
        <v>Grünland-K2O-leicht-D</v>
      </c>
      <c r="B112" s="15" t="s">
        <v>3311</v>
      </c>
      <c r="C112" s="15" t="s">
        <v>3808</v>
      </c>
      <c r="D112" s="15" t="s">
        <v>3635</v>
      </c>
      <c r="E112" s="15" t="s">
        <v>3337</v>
      </c>
      <c r="F112" s="15">
        <v>35</v>
      </c>
      <c r="G112" s="1805"/>
      <c r="H112" s="22"/>
      <c r="I112" s="22"/>
      <c r="J112" s="22"/>
      <c r="K112" s="1805"/>
      <c r="L112" s="1805"/>
      <c r="M112" s="1805"/>
      <c r="N112" s="1805"/>
      <c r="O112" s="1805"/>
      <c r="P112" s="1805"/>
      <c r="Q112" s="1805"/>
      <c r="R112" s="1805"/>
      <c r="S112" s="1805"/>
      <c r="T112" s="1805"/>
      <c r="U112" s="1805"/>
      <c r="V112" s="1805"/>
      <c r="W112" s="1805"/>
      <c r="X112" s="1805"/>
      <c r="Y112" s="1805"/>
      <c r="Z112" s="1805"/>
      <c r="AA112" s="1805"/>
      <c r="AB112" s="1805"/>
      <c r="AC112" s="1805"/>
      <c r="AD112" s="1805"/>
      <c r="AE112" s="22"/>
      <c r="AF112" s="22"/>
      <c r="AG112" s="22"/>
      <c r="AH112" s="22"/>
      <c r="AI112" s="22"/>
      <c r="AJ112" s="22"/>
    </row>
    <row r="113" spans="1:36" x14ac:dyDescent="0.2">
      <c r="A113" s="15" t="str">
        <f t="shared" si="1"/>
        <v>Grünland-K2O-mittel-A</v>
      </c>
      <c r="B113" s="15" t="s">
        <v>3311</v>
      </c>
      <c r="C113" s="15" t="s">
        <v>3808</v>
      </c>
      <c r="D113" s="15" t="s">
        <v>3453</v>
      </c>
      <c r="E113" s="15" t="s">
        <v>3330</v>
      </c>
      <c r="F113" s="15">
        <v>6</v>
      </c>
      <c r="G113" s="1805"/>
      <c r="H113" s="22"/>
      <c r="I113" s="22"/>
      <c r="J113" s="22"/>
      <c r="K113" s="1805"/>
      <c r="L113" s="1805"/>
      <c r="M113" s="1805"/>
      <c r="N113" s="1805"/>
      <c r="O113" s="1805"/>
      <c r="P113" s="1805"/>
      <c r="Q113" s="1805"/>
      <c r="R113" s="1805"/>
      <c r="S113" s="1805"/>
      <c r="T113" s="1805"/>
      <c r="U113" s="1805"/>
      <c r="V113" s="1805"/>
      <c r="W113" s="1805"/>
      <c r="X113" s="1805"/>
      <c r="Y113" s="1805"/>
      <c r="Z113" s="1805"/>
      <c r="AA113" s="1805"/>
      <c r="AB113" s="1805"/>
      <c r="AC113" s="1805"/>
      <c r="AD113" s="1805"/>
      <c r="AE113" s="22"/>
      <c r="AF113" s="22"/>
      <c r="AG113" s="22"/>
      <c r="AH113" s="22"/>
      <c r="AI113" s="22"/>
      <c r="AJ113" s="22"/>
    </row>
    <row r="114" spans="1:36" x14ac:dyDescent="0.2">
      <c r="A114" s="15" t="str">
        <f t="shared" si="1"/>
        <v>Grünland-K2O-mittel-B</v>
      </c>
      <c r="B114" s="15" t="s">
        <v>3311</v>
      </c>
      <c r="C114" s="15" t="s">
        <v>3808</v>
      </c>
      <c r="D114" s="15" t="s">
        <v>3453</v>
      </c>
      <c r="E114" s="15" t="s">
        <v>3335</v>
      </c>
      <c r="F114" s="15">
        <v>14</v>
      </c>
      <c r="G114" s="1805"/>
      <c r="H114" s="22"/>
      <c r="I114" s="22"/>
      <c r="J114" s="22"/>
      <c r="K114" s="1805"/>
      <c r="L114" s="1805"/>
      <c r="M114" s="1805"/>
      <c r="N114" s="1805"/>
      <c r="O114" s="1805"/>
      <c r="P114" s="1805"/>
      <c r="Q114" s="1805"/>
      <c r="R114" s="1805"/>
      <c r="S114" s="1805"/>
      <c r="T114" s="1805"/>
      <c r="U114" s="1805"/>
      <c r="V114" s="1805"/>
      <c r="W114" s="1805"/>
      <c r="X114" s="1805"/>
      <c r="Y114" s="1805"/>
      <c r="Z114" s="1805"/>
      <c r="AA114" s="1805"/>
      <c r="AB114" s="1805"/>
      <c r="AC114" s="1805"/>
      <c r="AD114" s="1805"/>
      <c r="AE114" s="22"/>
      <c r="AF114" s="22"/>
      <c r="AG114" s="22"/>
      <c r="AH114" s="22"/>
      <c r="AI114" s="22"/>
      <c r="AJ114" s="22"/>
    </row>
    <row r="115" spans="1:36" x14ac:dyDescent="0.2">
      <c r="A115" s="15" t="str">
        <f t="shared" si="1"/>
        <v>Grünland-K2O-mittel-C</v>
      </c>
      <c r="B115" s="15" t="s">
        <v>3311</v>
      </c>
      <c r="C115" s="15" t="s">
        <v>3808</v>
      </c>
      <c r="D115" s="15" t="s">
        <v>3453</v>
      </c>
      <c r="E115" s="15" t="s">
        <v>3336</v>
      </c>
      <c r="F115" s="15">
        <v>25</v>
      </c>
      <c r="G115" s="1805"/>
      <c r="H115" s="22"/>
      <c r="I115" s="22"/>
      <c r="J115" s="22"/>
      <c r="K115" s="1805"/>
      <c r="L115" s="1805"/>
      <c r="M115" s="1805"/>
      <c r="N115" s="1805"/>
      <c r="O115" s="1805"/>
      <c r="P115" s="1805"/>
      <c r="Q115" s="1805"/>
      <c r="R115" s="1805"/>
      <c r="S115" s="1805"/>
      <c r="T115" s="1805"/>
      <c r="U115" s="1805"/>
      <c r="V115" s="1805"/>
      <c r="W115" s="1805"/>
      <c r="X115" s="1805"/>
      <c r="Y115" s="1805"/>
      <c r="Z115" s="1805"/>
      <c r="AA115" s="1805"/>
      <c r="AB115" s="1805"/>
      <c r="AC115" s="1805"/>
      <c r="AD115" s="1805"/>
      <c r="AE115" s="22"/>
      <c r="AF115" s="22"/>
      <c r="AG115" s="22"/>
      <c r="AH115" s="22"/>
      <c r="AI115" s="22"/>
      <c r="AJ115" s="22"/>
    </row>
    <row r="116" spans="1:36" x14ac:dyDescent="0.2">
      <c r="A116" s="15" t="str">
        <f t="shared" si="1"/>
        <v>Grünland-K2O-mittel-D</v>
      </c>
      <c r="B116" s="15" t="s">
        <v>3311</v>
      </c>
      <c r="C116" s="15" t="s">
        <v>3808</v>
      </c>
      <c r="D116" s="15" t="s">
        <v>3453</v>
      </c>
      <c r="E116" s="15" t="s">
        <v>3337</v>
      </c>
      <c r="F116" s="15">
        <v>35</v>
      </c>
      <c r="G116" s="1805"/>
      <c r="H116" s="22"/>
      <c r="I116" s="22"/>
      <c r="J116" s="22"/>
      <c r="K116" s="1805"/>
      <c r="L116" s="1805"/>
      <c r="M116" s="1805"/>
      <c r="N116" s="1805"/>
      <c r="O116" s="1805"/>
      <c r="P116" s="1805"/>
      <c r="Q116" s="1805"/>
      <c r="R116" s="1805"/>
      <c r="S116" s="1805"/>
      <c r="T116" s="1805"/>
      <c r="U116" s="1805"/>
      <c r="V116" s="1805"/>
      <c r="W116" s="1805"/>
      <c r="X116" s="1805"/>
      <c r="Y116" s="1805"/>
      <c r="Z116" s="1805"/>
      <c r="AA116" s="1805"/>
      <c r="AB116" s="1805"/>
      <c r="AC116" s="1805"/>
      <c r="AD116" s="1805"/>
      <c r="AE116" s="22"/>
      <c r="AF116" s="22"/>
      <c r="AG116" s="22"/>
      <c r="AH116" s="22"/>
      <c r="AI116" s="22"/>
      <c r="AJ116" s="22"/>
    </row>
    <row r="117" spans="1:36" x14ac:dyDescent="0.2">
      <c r="A117" s="15" t="str">
        <f t="shared" si="1"/>
        <v>Grünland-K2O-Moor-A</v>
      </c>
      <c r="B117" s="15" t="s">
        <v>3311</v>
      </c>
      <c r="C117" s="15" t="s">
        <v>3808</v>
      </c>
      <c r="D117" s="15" t="s">
        <v>3369</v>
      </c>
      <c r="E117" s="15" t="s">
        <v>3330</v>
      </c>
      <c r="F117" s="15">
        <v>10</v>
      </c>
      <c r="G117" s="1805"/>
      <c r="H117" s="22"/>
      <c r="I117" s="22"/>
      <c r="J117" s="22"/>
      <c r="K117" s="1805"/>
      <c r="L117" s="1805"/>
      <c r="M117" s="1805"/>
      <c r="N117" s="1805"/>
      <c r="O117" s="1805"/>
      <c r="P117" s="1805"/>
      <c r="Q117" s="1805"/>
      <c r="R117" s="1805"/>
      <c r="S117" s="1805"/>
      <c r="T117" s="1805"/>
      <c r="U117" s="1805"/>
      <c r="V117" s="1805"/>
      <c r="W117" s="1805"/>
      <c r="X117" s="1805"/>
      <c r="Y117" s="1805"/>
      <c r="Z117" s="1805"/>
      <c r="AA117" s="1805"/>
      <c r="AB117" s="1805"/>
      <c r="AC117" s="1805"/>
      <c r="AD117" s="1805"/>
      <c r="AE117" s="22"/>
      <c r="AF117" s="22"/>
      <c r="AG117" s="22"/>
      <c r="AH117" s="22"/>
      <c r="AI117" s="22"/>
      <c r="AJ117" s="22"/>
    </row>
    <row r="118" spans="1:36" x14ac:dyDescent="0.2">
      <c r="A118" s="15" t="str">
        <f t="shared" si="1"/>
        <v>Grünland-K2O-Moor-B</v>
      </c>
      <c r="B118" s="15" t="s">
        <v>3311</v>
      </c>
      <c r="C118" s="15" t="s">
        <v>3808</v>
      </c>
      <c r="D118" s="15" t="s">
        <v>3369</v>
      </c>
      <c r="E118" s="15" t="s">
        <v>3335</v>
      </c>
      <c r="F118" s="15">
        <v>20</v>
      </c>
      <c r="G118" s="1805"/>
      <c r="H118" s="22"/>
      <c r="I118" s="22"/>
      <c r="J118" s="22"/>
      <c r="K118" s="1805"/>
      <c r="L118" s="1805"/>
      <c r="M118" s="1805"/>
      <c r="N118" s="1805"/>
      <c r="O118" s="1805"/>
      <c r="P118" s="1805"/>
      <c r="Q118" s="1805"/>
      <c r="R118" s="1805"/>
      <c r="S118" s="1805"/>
      <c r="T118" s="1805"/>
      <c r="U118" s="1805"/>
      <c r="V118" s="1805"/>
      <c r="W118" s="1805"/>
      <c r="X118" s="1805"/>
      <c r="Y118" s="1805"/>
      <c r="Z118" s="1805"/>
      <c r="AA118" s="1805"/>
      <c r="AB118" s="1805"/>
      <c r="AC118" s="1805"/>
      <c r="AD118" s="1805"/>
      <c r="AE118" s="22"/>
      <c r="AF118" s="22"/>
      <c r="AG118" s="22"/>
      <c r="AH118" s="22"/>
      <c r="AI118" s="22"/>
      <c r="AJ118" s="22"/>
    </row>
    <row r="119" spans="1:36" x14ac:dyDescent="0.2">
      <c r="A119" s="15" t="str">
        <f t="shared" si="1"/>
        <v>Grünland-K2O-Moor-C</v>
      </c>
      <c r="B119" s="15" t="s">
        <v>3311</v>
      </c>
      <c r="C119" s="15" t="s">
        <v>3808</v>
      </c>
      <c r="D119" s="15" t="s">
        <v>3369</v>
      </c>
      <c r="E119" s="15" t="s">
        <v>3336</v>
      </c>
      <c r="F119" s="15">
        <v>31</v>
      </c>
      <c r="G119" s="1805"/>
      <c r="H119" s="22"/>
      <c r="I119" s="22"/>
      <c r="J119" s="22"/>
      <c r="K119" s="1805"/>
      <c r="L119" s="1805"/>
      <c r="M119" s="1805"/>
      <c r="N119" s="1805"/>
      <c r="O119" s="1805"/>
      <c r="P119" s="1805"/>
      <c r="Q119" s="1805"/>
      <c r="R119" s="1805"/>
      <c r="S119" s="1805"/>
      <c r="T119" s="1805"/>
      <c r="U119" s="1805"/>
      <c r="V119" s="1805"/>
      <c r="W119" s="1805"/>
      <c r="X119" s="1805"/>
      <c r="Y119" s="1805"/>
      <c r="Z119" s="1805"/>
      <c r="AA119" s="1805"/>
      <c r="AB119" s="1805"/>
      <c r="AC119" s="1805"/>
      <c r="AD119" s="1805"/>
      <c r="AE119" s="22"/>
      <c r="AF119" s="22"/>
      <c r="AG119" s="22"/>
      <c r="AH119" s="22"/>
      <c r="AI119" s="22"/>
      <c r="AJ119" s="22"/>
    </row>
    <row r="120" spans="1:36" x14ac:dyDescent="0.2">
      <c r="A120" s="15" t="str">
        <f t="shared" si="1"/>
        <v>Grünland-K2O-Moor-D</v>
      </c>
      <c r="B120" s="15" t="s">
        <v>3311</v>
      </c>
      <c r="C120" s="15" t="s">
        <v>3808</v>
      </c>
      <c r="D120" s="15" t="s">
        <v>3369</v>
      </c>
      <c r="E120" s="15" t="s">
        <v>3337</v>
      </c>
      <c r="F120" s="15">
        <v>40</v>
      </c>
      <c r="G120" s="1805"/>
      <c r="H120" s="22"/>
      <c r="I120" s="22"/>
      <c r="J120" s="22"/>
      <c r="K120" s="1805"/>
      <c r="L120" s="1805"/>
      <c r="M120" s="1805"/>
      <c r="N120" s="1805"/>
      <c r="O120" s="1805"/>
      <c r="P120" s="1805"/>
      <c r="Q120" s="1805"/>
      <c r="R120" s="1805"/>
      <c r="S120" s="1805"/>
      <c r="T120" s="1805"/>
      <c r="U120" s="1805"/>
      <c r="V120" s="1805"/>
      <c r="W120" s="1805"/>
      <c r="X120" s="1805"/>
      <c r="Y120" s="1805"/>
      <c r="Z120" s="1805"/>
      <c r="AA120" s="1805"/>
      <c r="AB120" s="1805"/>
      <c r="AC120" s="1805"/>
      <c r="AD120" s="1805"/>
      <c r="AE120" s="22"/>
      <c r="AF120" s="22"/>
      <c r="AG120" s="22"/>
      <c r="AH120" s="22"/>
      <c r="AI120" s="22"/>
      <c r="AJ120" s="22"/>
    </row>
    <row r="121" spans="1:36" x14ac:dyDescent="0.2">
      <c r="A121" s="15" t="str">
        <f t="shared" si="1"/>
        <v>Grünland-K2O-schwer-A</v>
      </c>
      <c r="B121" s="15" t="s">
        <v>3311</v>
      </c>
      <c r="C121" s="15" t="s">
        <v>3808</v>
      </c>
      <c r="D121" s="15" t="s">
        <v>3640</v>
      </c>
      <c r="E121" s="15" t="s">
        <v>3330</v>
      </c>
      <c r="F121" s="15">
        <v>6</v>
      </c>
      <c r="G121" s="1805"/>
      <c r="H121" s="22"/>
      <c r="I121" s="22"/>
      <c r="J121" s="22"/>
      <c r="K121" s="1805"/>
      <c r="L121" s="1805"/>
      <c r="M121" s="1805"/>
      <c r="N121" s="1805"/>
      <c r="O121" s="1805"/>
      <c r="P121" s="1805"/>
      <c r="Q121" s="1805"/>
      <c r="R121" s="1805"/>
      <c r="S121" s="1805"/>
      <c r="T121" s="1805"/>
      <c r="U121" s="1805"/>
      <c r="V121" s="1805"/>
      <c r="W121" s="1805"/>
      <c r="X121" s="1805"/>
      <c r="Y121" s="1805"/>
      <c r="Z121" s="1805"/>
      <c r="AA121" s="1805"/>
      <c r="AB121" s="1805"/>
      <c r="AC121" s="1805"/>
      <c r="AD121" s="1805"/>
      <c r="AE121" s="22"/>
      <c r="AF121" s="22"/>
      <c r="AG121" s="22"/>
      <c r="AH121" s="22"/>
      <c r="AI121" s="22"/>
      <c r="AJ121" s="22"/>
    </row>
    <row r="122" spans="1:36" x14ac:dyDescent="0.2">
      <c r="A122" s="15" t="str">
        <f t="shared" si="1"/>
        <v>Grünland-K2O-schwer-B</v>
      </c>
      <c r="B122" s="15" t="s">
        <v>3311</v>
      </c>
      <c r="C122" s="15" t="s">
        <v>3808</v>
      </c>
      <c r="D122" s="15" t="s">
        <v>3640</v>
      </c>
      <c r="E122" s="15" t="s">
        <v>3335</v>
      </c>
      <c r="F122" s="15">
        <v>14</v>
      </c>
      <c r="G122" s="1805"/>
      <c r="H122" s="22"/>
      <c r="I122" s="22"/>
      <c r="J122" s="22"/>
      <c r="K122" s="1805"/>
      <c r="L122" s="1805"/>
      <c r="M122" s="1805"/>
      <c r="N122" s="1805"/>
      <c r="O122" s="1805"/>
      <c r="P122" s="1805"/>
      <c r="Q122" s="1805"/>
      <c r="R122" s="1805"/>
      <c r="S122" s="1805"/>
      <c r="T122" s="1805"/>
      <c r="U122" s="1805"/>
      <c r="V122" s="1805"/>
      <c r="W122" s="1805"/>
      <c r="X122" s="1805"/>
      <c r="Y122" s="1805"/>
      <c r="Z122" s="1805"/>
      <c r="AA122" s="1805"/>
      <c r="AB122" s="1805"/>
      <c r="AC122" s="1805"/>
      <c r="AD122" s="1805"/>
      <c r="AE122" s="22"/>
      <c r="AF122" s="22"/>
      <c r="AG122" s="22"/>
      <c r="AH122" s="22"/>
      <c r="AI122" s="22"/>
      <c r="AJ122" s="22"/>
    </row>
    <row r="123" spans="1:36" x14ac:dyDescent="0.2">
      <c r="A123" s="15" t="str">
        <f t="shared" si="1"/>
        <v>Grünland-K2O-schwer-C</v>
      </c>
      <c r="B123" s="15" t="s">
        <v>3311</v>
      </c>
      <c r="C123" s="15" t="s">
        <v>3808</v>
      </c>
      <c r="D123" s="15" t="s">
        <v>3640</v>
      </c>
      <c r="E123" s="15" t="s">
        <v>3336</v>
      </c>
      <c r="F123" s="15">
        <v>25</v>
      </c>
      <c r="G123" s="1805"/>
      <c r="H123" s="22"/>
      <c r="I123" s="22"/>
      <c r="J123" s="22"/>
      <c r="K123" s="1805"/>
      <c r="L123" s="1805"/>
      <c r="M123" s="1805"/>
      <c r="N123" s="1805"/>
      <c r="O123" s="1805"/>
      <c r="P123" s="1805"/>
      <c r="Q123" s="1805"/>
      <c r="R123" s="1805"/>
      <c r="S123" s="1805"/>
      <c r="T123" s="1805"/>
      <c r="U123" s="1805"/>
      <c r="V123" s="1805"/>
      <c r="W123" s="1805"/>
      <c r="X123" s="1805"/>
      <c r="Y123" s="1805"/>
      <c r="Z123" s="1805"/>
      <c r="AA123" s="1805"/>
      <c r="AB123" s="1805"/>
      <c r="AC123" s="1805"/>
      <c r="AD123" s="1805"/>
      <c r="AE123" s="22"/>
      <c r="AF123" s="22"/>
      <c r="AG123" s="22"/>
      <c r="AH123" s="22"/>
      <c r="AI123" s="22"/>
      <c r="AJ123" s="22"/>
    </row>
    <row r="124" spans="1:36" x14ac:dyDescent="0.2">
      <c r="A124" s="15" t="str">
        <f t="shared" si="1"/>
        <v>Grünland-K2O-schwer-D</v>
      </c>
      <c r="B124" s="15" t="s">
        <v>3311</v>
      </c>
      <c r="C124" s="15" t="s">
        <v>3808</v>
      </c>
      <c r="D124" s="15" t="s">
        <v>3640</v>
      </c>
      <c r="E124" s="15" t="s">
        <v>3337</v>
      </c>
      <c r="F124" s="15">
        <v>35</v>
      </c>
      <c r="G124" s="1805"/>
      <c r="H124" s="22"/>
      <c r="I124" s="22"/>
      <c r="J124" s="22"/>
      <c r="K124" s="1805"/>
      <c r="L124" s="1805"/>
      <c r="M124" s="1805"/>
      <c r="N124" s="1805"/>
      <c r="O124" s="1805"/>
      <c r="P124" s="1805"/>
      <c r="Q124" s="1805"/>
      <c r="R124" s="1805"/>
      <c r="S124" s="1805"/>
      <c r="T124" s="1805"/>
      <c r="U124" s="1805"/>
      <c r="V124" s="1805"/>
      <c r="W124" s="1805"/>
      <c r="X124" s="1805"/>
      <c r="Y124" s="1805"/>
      <c r="Z124" s="1805"/>
      <c r="AA124" s="1805"/>
      <c r="AB124" s="1805"/>
      <c r="AC124" s="1805"/>
      <c r="AD124" s="1805"/>
      <c r="AE124" s="22"/>
      <c r="AF124" s="22"/>
      <c r="AG124" s="22"/>
      <c r="AH124" s="22"/>
      <c r="AI124" s="22"/>
      <c r="AJ124" s="22"/>
    </row>
    <row r="125" spans="1:36" x14ac:dyDescent="0.2">
      <c r="A125" s="15" t="str">
        <f t="shared" si="1"/>
        <v>Ackerland-MgO-leicht-A</v>
      </c>
      <c r="B125" s="15" t="s">
        <v>4888</v>
      </c>
      <c r="C125" s="15" t="s">
        <v>25</v>
      </c>
      <c r="D125" s="15" t="s">
        <v>3635</v>
      </c>
      <c r="E125" s="15" t="s">
        <v>3330</v>
      </c>
      <c r="F125" s="15">
        <v>2</v>
      </c>
      <c r="G125" s="1805"/>
      <c r="H125" s="22"/>
      <c r="I125" s="22"/>
      <c r="J125" s="22"/>
      <c r="K125" s="1805"/>
      <c r="L125" s="1805"/>
      <c r="M125" s="1805"/>
      <c r="N125" s="1805"/>
      <c r="O125" s="1805"/>
      <c r="P125" s="1805"/>
      <c r="Q125" s="1805"/>
      <c r="R125" s="1805"/>
      <c r="S125" s="1805"/>
      <c r="T125" s="1805"/>
      <c r="U125" s="1805"/>
      <c r="V125" s="1805"/>
      <c r="W125" s="1805"/>
      <c r="X125" s="1805"/>
      <c r="Y125" s="1805"/>
      <c r="Z125" s="1805"/>
      <c r="AA125" s="1805"/>
      <c r="AB125" s="1805"/>
      <c r="AC125" s="1805"/>
      <c r="AD125" s="1805"/>
      <c r="AE125" s="22"/>
      <c r="AF125" s="22"/>
      <c r="AG125" s="22"/>
      <c r="AH125" s="22"/>
      <c r="AI125" s="22"/>
      <c r="AJ125" s="22"/>
    </row>
    <row r="126" spans="1:36" x14ac:dyDescent="0.2">
      <c r="A126" s="15" t="str">
        <f t="shared" si="1"/>
        <v>Ackerland-MgO-leicht-B</v>
      </c>
      <c r="B126" s="15" t="s">
        <v>4888</v>
      </c>
      <c r="C126" s="15" t="s">
        <v>25</v>
      </c>
      <c r="D126" s="15" t="s">
        <v>3635</v>
      </c>
      <c r="E126" s="15" t="s">
        <v>3335</v>
      </c>
      <c r="F126" s="15">
        <v>4</v>
      </c>
      <c r="G126" s="1805"/>
      <c r="H126" s="22"/>
      <c r="I126" s="22"/>
      <c r="J126" s="22"/>
      <c r="K126" s="1805"/>
      <c r="L126" s="1805"/>
      <c r="M126" s="1805"/>
      <c r="N126" s="1805"/>
      <c r="O126" s="1805"/>
      <c r="P126" s="1805"/>
      <c r="Q126" s="1805"/>
      <c r="R126" s="1805"/>
      <c r="S126" s="1805"/>
      <c r="T126" s="1805"/>
      <c r="U126" s="1805"/>
      <c r="V126" s="1805"/>
      <c r="W126" s="1805"/>
      <c r="X126" s="1805"/>
      <c r="Y126" s="1805"/>
      <c r="Z126" s="1805"/>
      <c r="AA126" s="1805"/>
      <c r="AB126" s="1805"/>
      <c r="AC126" s="1805"/>
      <c r="AD126" s="1805"/>
      <c r="AE126" s="22"/>
      <c r="AF126" s="22"/>
      <c r="AG126" s="22"/>
      <c r="AH126" s="22"/>
      <c r="AI126" s="22"/>
      <c r="AJ126" s="22"/>
    </row>
    <row r="127" spans="1:36" x14ac:dyDescent="0.2">
      <c r="A127" s="15" t="str">
        <f t="shared" si="1"/>
        <v>Ackerland-MgO-leicht-C</v>
      </c>
      <c r="B127" s="15" t="s">
        <v>4888</v>
      </c>
      <c r="C127" s="15" t="s">
        <v>25</v>
      </c>
      <c r="D127" s="15" t="s">
        <v>3635</v>
      </c>
      <c r="E127" s="15" t="s">
        <v>3336</v>
      </c>
      <c r="F127" s="15">
        <v>9</v>
      </c>
      <c r="G127" s="1805"/>
      <c r="H127" s="22"/>
      <c r="I127" s="22"/>
      <c r="J127" s="22"/>
      <c r="K127" s="1805"/>
      <c r="L127" s="1805"/>
      <c r="M127" s="1805"/>
      <c r="N127" s="1805"/>
      <c r="O127" s="1805"/>
      <c r="P127" s="1805"/>
      <c r="Q127" s="1805"/>
      <c r="R127" s="1805"/>
      <c r="S127" s="1805"/>
      <c r="T127" s="1805"/>
      <c r="U127" s="1805"/>
      <c r="V127" s="1805"/>
      <c r="W127" s="1805"/>
      <c r="X127" s="1805"/>
      <c r="Y127" s="1805"/>
      <c r="Z127" s="1805"/>
      <c r="AA127" s="1805"/>
      <c r="AB127" s="1805"/>
      <c r="AC127" s="1805"/>
      <c r="AD127" s="1805"/>
      <c r="AE127" s="22"/>
      <c r="AF127" s="22"/>
      <c r="AG127" s="22"/>
      <c r="AH127" s="22"/>
      <c r="AI127" s="22"/>
      <c r="AJ127" s="22"/>
    </row>
    <row r="128" spans="1:36" x14ac:dyDescent="0.2">
      <c r="A128" s="15" t="str">
        <f t="shared" si="1"/>
        <v>Ackerland-MgO-leicht-D</v>
      </c>
      <c r="B128" s="15" t="s">
        <v>4888</v>
      </c>
      <c r="C128" s="15" t="s">
        <v>25</v>
      </c>
      <c r="D128" s="15" t="s">
        <v>3635</v>
      </c>
      <c r="E128" s="15" t="s">
        <v>3337</v>
      </c>
      <c r="F128" s="15">
        <v>12</v>
      </c>
      <c r="G128" s="1805"/>
      <c r="H128" s="22"/>
      <c r="I128" s="22"/>
      <c r="J128" s="22"/>
      <c r="K128" s="1805"/>
      <c r="L128" s="1805"/>
      <c r="M128" s="1805"/>
      <c r="N128" s="1805"/>
      <c r="O128" s="1805"/>
      <c r="P128" s="1805"/>
      <c r="Q128" s="1805"/>
      <c r="R128" s="1805"/>
      <c r="S128" s="1805"/>
      <c r="T128" s="1805"/>
      <c r="U128" s="1805"/>
      <c r="V128" s="1805"/>
      <c r="W128" s="1805"/>
      <c r="X128" s="1805"/>
      <c r="Y128" s="1805"/>
      <c r="Z128" s="1805"/>
      <c r="AA128" s="1805"/>
      <c r="AB128" s="1805"/>
      <c r="AC128" s="1805"/>
      <c r="AD128" s="1805"/>
      <c r="AE128" s="22"/>
      <c r="AF128" s="22"/>
      <c r="AG128" s="22"/>
      <c r="AH128" s="22"/>
      <c r="AI128" s="22"/>
      <c r="AJ128" s="22"/>
    </row>
    <row r="129" spans="1:36" x14ac:dyDescent="0.2">
      <c r="A129" s="15" t="str">
        <f t="shared" si="1"/>
        <v>Ackerland-MgO-mittel-A</v>
      </c>
      <c r="B129" s="15" t="s">
        <v>4888</v>
      </c>
      <c r="C129" s="15" t="s">
        <v>25</v>
      </c>
      <c r="D129" s="15" t="s">
        <v>3453</v>
      </c>
      <c r="E129" s="15" t="s">
        <v>3330</v>
      </c>
      <c r="F129" s="15">
        <v>3</v>
      </c>
      <c r="G129" s="1805"/>
      <c r="H129" s="22"/>
      <c r="I129" s="22"/>
      <c r="J129" s="22"/>
      <c r="K129" s="1805"/>
      <c r="L129" s="1805"/>
      <c r="M129" s="1805"/>
      <c r="N129" s="1805"/>
      <c r="O129" s="1805"/>
      <c r="P129" s="1805"/>
      <c r="Q129" s="1805"/>
      <c r="R129" s="1805"/>
      <c r="S129" s="1805"/>
      <c r="T129" s="1805"/>
      <c r="U129" s="1805"/>
      <c r="V129" s="1805"/>
      <c r="W129" s="1805"/>
      <c r="X129" s="1805"/>
      <c r="Y129" s="1805"/>
      <c r="Z129" s="1805"/>
      <c r="AA129" s="1805"/>
      <c r="AB129" s="1805"/>
      <c r="AC129" s="1805"/>
      <c r="AD129" s="1805"/>
      <c r="AE129" s="22"/>
      <c r="AF129" s="22"/>
      <c r="AG129" s="22"/>
      <c r="AH129" s="22"/>
      <c r="AI129" s="22"/>
      <c r="AJ129" s="22"/>
    </row>
    <row r="130" spans="1:36" x14ac:dyDescent="0.2">
      <c r="A130" s="15" t="str">
        <f t="shared" si="1"/>
        <v>Ackerland-MgO-mittel-B</v>
      </c>
      <c r="B130" s="15" t="s">
        <v>4888</v>
      </c>
      <c r="C130" s="15" t="s">
        <v>25</v>
      </c>
      <c r="D130" s="15" t="s">
        <v>3453</v>
      </c>
      <c r="E130" s="15" t="s">
        <v>3335</v>
      </c>
      <c r="F130" s="15">
        <v>7</v>
      </c>
      <c r="G130" s="1805"/>
      <c r="H130" s="22"/>
      <c r="I130" s="22"/>
      <c r="J130" s="22"/>
      <c r="K130" s="1805"/>
      <c r="L130" s="1805"/>
      <c r="M130" s="1805"/>
      <c r="N130" s="1805"/>
      <c r="O130" s="1805"/>
      <c r="P130" s="1805"/>
      <c r="Q130" s="1805"/>
      <c r="R130" s="1805"/>
      <c r="S130" s="1805"/>
      <c r="T130" s="1805"/>
      <c r="U130" s="1805"/>
      <c r="V130" s="1805"/>
      <c r="W130" s="1805"/>
      <c r="X130" s="1805"/>
      <c r="Y130" s="1805"/>
      <c r="Z130" s="1805"/>
      <c r="AA130" s="1805"/>
      <c r="AB130" s="1805"/>
      <c r="AC130" s="1805"/>
      <c r="AD130" s="1805"/>
      <c r="AE130" s="22"/>
      <c r="AF130" s="22"/>
      <c r="AG130" s="22"/>
      <c r="AH130" s="22"/>
      <c r="AI130" s="22"/>
      <c r="AJ130" s="22"/>
    </row>
    <row r="131" spans="1:36" x14ac:dyDescent="0.2">
      <c r="A131" s="15" t="str">
        <f t="shared" si="1"/>
        <v>Ackerland-MgO-mittel-C</v>
      </c>
      <c r="B131" s="15" t="s">
        <v>4888</v>
      </c>
      <c r="C131" s="15" t="s">
        <v>25</v>
      </c>
      <c r="D131" s="15" t="s">
        <v>3453</v>
      </c>
      <c r="E131" s="15" t="s">
        <v>3336</v>
      </c>
      <c r="F131" s="15">
        <v>13</v>
      </c>
      <c r="G131" s="1805"/>
      <c r="H131" s="22"/>
      <c r="I131" s="22"/>
      <c r="J131" s="22"/>
      <c r="K131" s="1805"/>
      <c r="L131" s="1805"/>
      <c r="M131" s="1805"/>
      <c r="N131" s="1805"/>
      <c r="O131" s="1805"/>
      <c r="P131" s="1805"/>
      <c r="Q131" s="1805"/>
      <c r="R131" s="1805"/>
      <c r="S131" s="1805"/>
      <c r="T131" s="1805"/>
      <c r="U131" s="1805"/>
      <c r="V131" s="1805"/>
      <c r="W131" s="1805"/>
      <c r="X131" s="1805"/>
      <c r="Y131" s="1805"/>
      <c r="Z131" s="1805"/>
      <c r="AA131" s="1805"/>
      <c r="AB131" s="1805"/>
      <c r="AC131" s="1805"/>
      <c r="AD131" s="1805"/>
      <c r="AE131" s="22"/>
      <c r="AF131" s="22"/>
      <c r="AG131" s="22"/>
      <c r="AH131" s="22"/>
      <c r="AI131" s="22"/>
      <c r="AJ131" s="22"/>
    </row>
    <row r="132" spans="1:36" x14ac:dyDescent="0.2">
      <c r="A132" s="15" t="str">
        <f t="shared" si="1"/>
        <v>Ackerland-MgO-mittel-D</v>
      </c>
      <c r="B132" s="15" t="s">
        <v>4888</v>
      </c>
      <c r="C132" s="15" t="s">
        <v>25</v>
      </c>
      <c r="D132" s="15" t="s">
        <v>3453</v>
      </c>
      <c r="E132" s="15" t="s">
        <v>3337</v>
      </c>
      <c r="F132" s="15">
        <v>18</v>
      </c>
      <c r="G132" s="1805"/>
      <c r="H132" s="22"/>
      <c r="I132" s="22"/>
      <c r="J132" s="22"/>
      <c r="K132" s="1805"/>
      <c r="L132" s="1805"/>
      <c r="M132" s="1805"/>
      <c r="N132" s="1805"/>
      <c r="O132" s="1805"/>
      <c r="P132" s="1805"/>
      <c r="Q132" s="1805"/>
      <c r="R132" s="1805"/>
      <c r="S132" s="1805"/>
      <c r="T132" s="1805"/>
      <c r="U132" s="1805"/>
      <c r="V132" s="1805"/>
      <c r="W132" s="1805"/>
      <c r="X132" s="1805"/>
      <c r="Y132" s="1805"/>
      <c r="Z132" s="1805"/>
      <c r="AA132" s="1805"/>
      <c r="AB132" s="1805"/>
      <c r="AC132" s="1805"/>
      <c r="AD132" s="1805"/>
      <c r="AE132" s="22"/>
      <c r="AF132" s="22"/>
      <c r="AG132" s="22"/>
      <c r="AH132" s="22"/>
      <c r="AI132" s="22"/>
      <c r="AJ132" s="22"/>
    </row>
    <row r="133" spans="1:36" x14ac:dyDescent="0.2">
      <c r="A133" s="15" t="str">
        <f t="shared" si="1"/>
        <v>Ackerland-MgO-Moor-A</v>
      </c>
      <c r="B133" s="15" t="s">
        <v>4888</v>
      </c>
      <c r="C133" s="15" t="s">
        <v>25</v>
      </c>
      <c r="D133" s="15" t="s">
        <v>3369</v>
      </c>
      <c r="E133" s="15" t="s">
        <v>3330</v>
      </c>
      <c r="F133" s="15">
        <v>5</v>
      </c>
      <c r="G133" s="1805"/>
      <c r="H133" s="22"/>
      <c r="I133" s="22"/>
      <c r="J133" s="22"/>
      <c r="K133" s="1805"/>
      <c r="L133" s="1805"/>
      <c r="M133" s="1805"/>
      <c r="N133" s="1805"/>
      <c r="O133" s="1805"/>
      <c r="P133" s="1805"/>
      <c r="Q133" s="1805"/>
      <c r="R133" s="1805"/>
      <c r="S133" s="1805"/>
      <c r="T133" s="1805"/>
      <c r="U133" s="1805"/>
      <c r="V133" s="1805"/>
      <c r="W133" s="1805"/>
      <c r="X133" s="1805"/>
      <c r="Y133" s="1805"/>
      <c r="Z133" s="1805"/>
      <c r="AA133" s="1805"/>
      <c r="AB133" s="1805"/>
      <c r="AC133" s="1805"/>
      <c r="AD133" s="1805"/>
      <c r="AE133" s="22"/>
      <c r="AF133" s="22"/>
      <c r="AG133" s="22"/>
      <c r="AH133" s="22"/>
      <c r="AI133" s="22"/>
      <c r="AJ133" s="22"/>
    </row>
    <row r="134" spans="1:36" x14ac:dyDescent="0.2">
      <c r="A134" s="15" t="str">
        <f t="shared" si="1"/>
        <v>Ackerland-MgO-Moor-B</v>
      </c>
      <c r="B134" s="15" t="s">
        <v>4888</v>
      </c>
      <c r="C134" s="15" t="s">
        <v>25</v>
      </c>
      <c r="D134" s="15" t="s">
        <v>3369</v>
      </c>
      <c r="E134" s="15" t="s">
        <v>3335</v>
      </c>
      <c r="F134" s="15">
        <v>10</v>
      </c>
      <c r="G134" s="1805"/>
      <c r="H134" s="22"/>
      <c r="I134" s="22"/>
      <c r="J134" s="22"/>
      <c r="K134" s="1805"/>
      <c r="L134" s="1805"/>
      <c r="M134" s="1805"/>
      <c r="N134" s="1805"/>
      <c r="O134" s="1805"/>
      <c r="P134" s="1805"/>
      <c r="Q134" s="1805"/>
      <c r="R134" s="1805"/>
      <c r="S134" s="1805"/>
      <c r="T134" s="1805"/>
      <c r="U134" s="1805"/>
      <c r="V134" s="1805"/>
      <c r="W134" s="1805"/>
      <c r="X134" s="1805"/>
      <c r="Y134" s="1805"/>
      <c r="Z134" s="1805"/>
      <c r="AA134" s="1805"/>
      <c r="AB134" s="1805"/>
      <c r="AC134" s="1805"/>
      <c r="AD134" s="1805"/>
      <c r="AE134" s="22"/>
      <c r="AF134" s="22"/>
      <c r="AG134" s="22"/>
      <c r="AH134" s="22"/>
      <c r="AI134" s="22"/>
      <c r="AJ134" s="22"/>
    </row>
    <row r="135" spans="1:36" x14ac:dyDescent="0.2">
      <c r="A135" s="15" t="str">
        <f t="shared" si="1"/>
        <v>Ackerland-MgO-Moor-C</v>
      </c>
      <c r="B135" s="15" t="s">
        <v>4888</v>
      </c>
      <c r="C135" s="15" t="s">
        <v>25</v>
      </c>
      <c r="D135" s="15" t="s">
        <v>3369</v>
      </c>
      <c r="E135" s="15" t="s">
        <v>3336</v>
      </c>
      <c r="F135" s="15">
        <v>15</v>
      </c>
      <c r="G135" s="1805"/>
      <c r="H135" s="22"/>
      <c r="I135" s="22"/>
      <c r="J135" s="22"/>
      <c r="K135" s="1805"/>
      <c r="L135" s="1805"/>
      <c r="M135" s="1805"/>
      <c r="N135" s="1805"/>
      <c r="O135" s="1805"/>
      <c r="P135" s="1805"/>
      <c r="Q135" s="1805"/>
      <c r="R135" s="1805"/>
      <c r="S135" s="1805"/>
      <c r="T135" s="1805"/>
      <c r="U135" s="1805"/>
      <c r="V135" s="1805"/>
      <c r="W135" s="1805"/>
      <c r="X135" s="1805"/>
      <c r="Y135" s="1805"/>
      <c r="Z135" s="1805"/>
      <c r="AA135" s="1805"/>
      <c r="AB135" s="1805"/>
      <c r="AC135" s="1805"/>
      <c r="AD135" s="1805"/>
      <c r="AE135" s="22"/>
      <c r="AF135" s="22"/>
      <c r="AG135" s="22"/>
      <c r="AH135" s="22"/>
      <c r="AI135" s="22"/>
      <c r="AJ135" s="22"/>
    </row>
    <row r="136" spans="1:36" x14ac:dyDescent="0.2">
      <c r="A136" s="15" t="str">
        <f t="shared" si="1"/>
        <v>Ackerland-MgO-Moor-D</v>
      </c>
      <c r="B136" s="15" t="s">
        <v>4888</v>
      </c>
      <c r="C136" s="15" t="s">
        <v>25</v>
      </c>
      <c r="D136" s="15" t="s">
        <v>3369</v>
      </c>
      <c r="E136" s="15" t="s">
        <v>3337</v>
      </c>
      <c r="F136" s="15">
        <v>25</v>
      </c>
      <c r="G136" s="1805"/>
      <c r="H136" s="22"/>
      <c r="I136" s="22"/>
      <c r="J136" s="22"/>
      <c r="K136" s="1805"/>
      <c r="L136" s="1805"/>
      <c r="M136" s="1805"/>
      <c r="N136" s="1805"/>
      <c r="O136" s="1805"/>
      <c r="P136" s="1805"/>
      <c r="Q136" s="1805"/>
      <c r="R136" s="1805"/>
      <c r="S136" s="1805"/>
      <c r="T136" s="1805"/>
      <c r="U136" s="1805"/>
      <c r="V136" s="1805"/>
      <c r="W136" s="1805"/>
      <c r="X136" s="1805"/>
      <c r="Y136" s="1805"/>
      <c r="Z136" s="1805"/>
      <c r="AA136" s="1805"/>
      <c r="AB136" s="1805"/>
      <c r="AC136" s="1805"/>
      <c r="AD136" s="1805"/>
      <c r="AE136" s="22"/>
      <c r="AF136" s="22"/>
      <c r="AG136" s="22"/>
      <c r="AH136" s="22"/>
      <c r="AI136" s="22"/>
      <c r="AJ136" s="22"/>
    </row>
    <row r="137" spans="1:36" x14ac:dyDescent="0.2">
      <c r="A137" s="15" t="str">
        <f t="shared" si="1"/>
        <v>Ackerland-MgO-schwer-A</v>
      </c>
      <c r="B137" s="15" t="s">
        <v>4888</v>
      </c>
      <c r="C137" s="15" t="s">
        <v>25</v>
      </c>
      <c r="D137" s="15" t="s">
        <v>3640</v>
      </c>
      <c r="E137" s="15" t="s">
        <v>3330</v>
      </c>
      <c r="F137" s="15">
        <v>5</v>
      </c>
      <c r="G137" s="1805"/>
      <c r="H137" s="22"/>
      <c r="I137" s="22"/>
      <c r="J137" s="22"/>
      <c r="K137" s="1805"/>
      <c r="L137" s="1805"/>
      <c r="M137" s="1805"/>
      <c r="N137" s="1805"/>
      <c r="O137" s="1805"/>
      <c r="P137" s="1805"/>
      <c r="Q137" s="1805"/>
      <c r="R137" s="1805"/>
      <c r="S137" s="1805"/>
      <c r="T137" s="1805"/>
      <c r="U137" s="1805"/>
      <c r="V137" s="1805"/>
      <c r="W137" s="1805"/>
      <c r="X137" s="1805"/>
      <c r="Y137" s="1805"/>
      <c r="Z137" s="1805"/>
      <c r="AA137" s="1805"/>
      <c r="AB137" s="1805"/>
      <c r="AC137" s="1805"/>
      <c r="AD137" s="1805"/>
      <c r="AE137" s="22"/>
      <c r="AF137" s="22"/>
      <c r="AG137" s="22"/>
      <c r="AH137" s="22"/>
      <c r="AI137" s="22"/>
      <c r="AJ137" s="22"/>
    </row>
    <row r="138" spans="1:36" x14ac:dyDescent="0.2">
      <c r="A138" s="15" t="str">
        <f t="shared" si="1"/>
        <v>Ackerland-MgO-schwer-B</v>
      </c>
      <c r="B138" s="15" t="s">
        <v>4888</v>
      </c>
      <c r="C138" s="15" t="s">
        <v>25</v>
      </c>
      <c r="D138" s="15" t="s">
        <v>3640</v>
      </c>
      <c r="E138" s="15" t="s">
        <v>3335</v>
      </c>
      <c r="F138" s="15">
        <v>10</v>
      </c>
      <c r="G138" s="1805"/>
      <c r="H138" s="22"/>
      <c r="I138" s="22"/>
      <c r="J138" s="22"/>
      <c r="K138" s="1805"/>
      <c r="L138" s="1805"/>
      <c r="M138" s="1805"/>
      <c r="N138" s="1805"/>
      <c r="O138" s="1805"/>
      <c r="P138" s="1805"/>
      <c r="Q138" s="1805"/>
      <c r="R138" s="1805"/>
      <c r="S138" s="1805"/>
      <c r="T138" s="1805"/>
      <c r="U138" s="1805"/>
      <c r="V138" s="1805"/>
      <c r="W138" s="1805"/>
      <c r="X138" s="1805"/>
      <c r="Y138" s="1805"/>
      <c r="Z138" s="1805"/>
      <c r="AA138" s="1805"/>
      <c r="AB138" s="1805"/>
      <c r="AC138" s="1805"/>
      <c r="AD138" s="1805"/>
      <c r="AE138" s="22"/>
      <c r="AF138" s="22"/>
      <c r="AG138" s="22"/>
      <c r="AH138" s="22"/>
      <c r="AI138" s="22"/>
      <c r="AJ138" s="22"/>
    </row>
    <row r="139" spans="1:36" x14ac:dyDescent="0.2">
      <c r="A139" s="15" t="str">
        <f t="shared" si="1"/>
        <v>Ackerland-MgO-schwer-C</v>
      </c>
      <c r="B139" s="15" t="s">
        <v>4888</v>
      </c>
      <c r="C139" s="15" t="s">
        <v>25</v>
      </c>
      <c r="D139" s="15" t="s">
        <v>3640</v>
      </c>
      <c r="E139" s="15" t="s">
        <v>3336</v>
      </c>
      <c r="F139" s="15">
        <v>15</v>
      </c>
      <c r="G139" s="1805"/>
      <c r="H139" s="22"/>
      <c r="I139" s="22"/>
      <c r="J139" s="22"/>
      <c r="K139" s="1805"/>
      <c r="L139" s="1805"/>
      <c r="M139" s="1805"/>
      <c r="N139" s="1805"/>
      <c r="O139" s="1805"/>
      <c r="P139" s="1805"/>
      <c r="Q139" s="1805"/>
      <c r="R139" s="1805"/>
      <c r="S139" s="1805"/>
      <c r="T139" s="1805"/>
      <c r="U139" s="1805"/>
      <c r="V139" s="1805"/>
      <c r="W139" s="1805"/>
      <c r="X139" s="1805"/>
      <c r="Y139" s="1805"/>
      <c r="Z139" s="1805"/>
      <c r="AA139" s="1805"/>
      <c r="AB139" s="1805"/>
      <c r="AC139" s="1805"/>
      <c r="AD139" s="1805"/>
      <c r="AE139" s="22"/>
      <c r="AF139" s="22"/>
      <c r="AG139" s="22"/>
      <c r="AH139" s="22"/>
      <c r="AI139" s="22"/>
      <c r="AJ139" s="22"/>
    </row>
    <row r="140" spans="1:36" x14ac:dyDescent="0.2">
      <c r="A140" s="15" t="str">
        <f t="shared" si="1"/>
        <v>Ackerland-MgO-schwer-D</v>
      </c>
      <c r="B140" s="15" t="s">
        <v>4888</v>
      </c>
      <c r="C140" s="15" t="s">
        <v>25</v>
      </c>
      <c r="D140" s="15" t="s">
        <v>3640</v>
      </c>
      <c r="E140" s="15" t="s">
        <v>3337</v>
      </c>
      <c r="F140" s="15">
        <v>25</v>
      </c>
      <c r="G140" s="1805"/>
      <c r="H140" s="22"/>
      <c r="I140" s="22"/>
      <c r="J140" s="22"/>
      <c r="K140" s="1805"/>
      <c r="L140" s="1805"/>
      <c r="M140" s="1805"/>
      <c r="N140" s="1805"/>
      <c r="O140" s="1805"/>
      <c r="P140" s="1805"/>
      <c r="Q140" s="1805"/>
      <c r="R140" s="1805"/>
      <c r="S140" s="1805"/>
      <c r="T140" s="1805"/>
      <c r="U140" s="1805"/>
      <c r="V140" s="1805"/>
      <c r="W140" s="1805"/>
      <c r="X140" s="1805"/>
      <c r="Y140" s="1805"/>
      <c r="Z140" s="1805"/>
      <c r="AA140" s="1805"/>
      <c r="AB140" s="1805"/>
      <c r="AC140" s="1805"/>
      <c r="AD140" s="1805"/>
      <c r="AE140" s="22"/>
      <c r="AF140" s="22"/>
      <c r="AG140" s="22"/>
      <c r="AH140" s="22"/>
      <c r="AI140" s="22"/>
      <c r="AJ140" s="22"/>
    </row>
    <row r="141" spans="1:36" x14ac:dyDescent="0.2">
      <c r="A141" s="15" t="str">
        <f t="shared" si="1"/>
        <v>Hopfen-MgO-leicht-A</v>
      </c>
      <c r="B141" s="15" t="s">
        <v>3415</v>
      </c>
      <c r="C141" s="15" t="s">
        <v>25</v>
      </c>
      <c r="D141" s="15" t="s">
        <v>3635</v>
      </c>
      <c r="E141" s="15" t="s">
        <v>3330</v>
      </c>
      <c r="F141" s="15">
        <v>2</v>
      </c>
      <c r="G141" s="1805"/>
      <c r="H141" s="22"/>
      <c r="I141" s="22"/>
      <c r="J141" s="22"/>
      <c r="K141" s="1805"/>
      <c r="L141" s="1805"/>
      <c r="M141" s="1805"/>
      <c r="N141" s="1805"/>
      <c r="O141" s="1805"/>
      <c r="P141" s="1805"/>
      <c r="Q141" s="1805"/>
      <c r="R141" s="1805"/>
      <c r="S141" s="1805"/>
      <c r="T141" s="1805"/>
      <c r="U141" s="1805"/>
      <c r="V141" s="1805"/>
      <c r="W141" s="1805"/>
      <c r="X141" s="1805"/>
      <c r="Y141" s="1805"/>
      <c r="Z141" s="1805"/>
      <c r="AA141" s="1805"/>
      <c r="AB141" s="1805"/>
      <c r="AC141" s="1805"/>
      <c r="AD141" s="1805"/>
      <c r="AE141" s="22"/>
      <c r="AF141" s="22"/>
      <c r="AG141" s="22"/>
      <c r="AH141" s="22"/>
      <c r="AI141" s="22"/>
      <c r="AJ141" s="22"/>
    </row>
    <row r="142" spans="1:36" x14ac:dyDescent="0.2">
      <c r="A142" s="15" t="str">
        <f t="shared" si="1"/>
        <v>Hopfen-MgO-leicht-B</v>
      </c>
      <c r="B142" s="15" t="s">
        <v>3415</v>
      </c>
      <c r="C142" s="15" t="s">
        <v>25</v>
      </c>
      <c r="D142" s="15" t="s">
        <v>3635</v>
      </c>
      <c r="E142" s="15" t="s">
        <v>3335</v>
      </c>
      <c r="F142" s="15">
        <v>6</v>
      </c>
      <c r="G142" s="1805"/>
      <c r="H142" s="22"/>
      <c r="I142" s="22"/>
      <c r="J142" s="22"/>
      <c r="K142" s="1805"/>
      <c r="L142" s="1805"/>
      <c r="M142" s="1805"/>
      <c r="N142" s="1805"/>
      <c r="O142" s="1805"/>
      <c r="P142" s="1805"/>
      <c r="Q142" s="1805"/>
      <c r="R142" s="1805"/>
      <c r="S142" s="1805"/>
      <c r="T142" s="1805"/>
      <c r="U142" s="1805"/>
      <c r="V142" s="1805"/>
      <c r="W142" s="1805"/>
      <c r="X142" s="1805"/>
      <c r="Y142" s="1805"/>
      <c r="Z142" s="1805"/>
      <c r="AA142" s="1805"/>
      <c r="AB142" s="1805"/>
      <c r="AC142" s="1805"/>
      <c r="AD142" s="1805"/>
      <c r="AE142" s="22"/>
      <c r="AF142" s="22"/>
      <c r="AG142" s="22"/>
      <c r="AH142" s="22"/>
      <c r="AI142" s="22"/>
      <c r="AJ142" s="22"/>
    </row>
    <row r="143" spans="1:36" x14ac:dyDescent="0.2">
      <c r="A143" s="15" t="str">
        <f t="shared" si="1"/>
        <v>Hopfen-MgO-leicht-C</v>
      </c>
      <c r="B143" s="15" t="s">
        <v>3415</v>
      </c>
      <c r="C143" s="15" t="s">
        <v>25</v>
      </c>
      <c r="D143" s="15" t="s">
        <v>3635</v>
      </c>
      <c r="E143" s="15" t="s">
        <v>3336</v>
      </c>
      <c r="F143" s="15">
        <v>10</v>
      </c>
      <c r="G143" s="1805"/>
      <c r="H143" s="22"/>
      <c r="I143" s="22"/>
      <c r="J143" s="22"/>
      <c r="K143" s="1805"/>
      <c r="L143" s="1805"/>
      <c r="M143" s="1805"/>
      <c r="N143" s="1805"/>
      <c r="O143" s="1805"/>
      <c r="P143" s="1805"/>
      <c r="Q143" s="1805"/>
      <c r="R143" s="1805"/>
      <c r="S143" s="1805"/>
      <c r="T143" s="1805"/>
      <c r="U143" s="1805"/>
      <c r="V143" s="1805"/>
      <c r="W143" s="1805"/>
      <c r="X143" s="1805"/>
      <c r="Y143" s="1805"/>
      <c r="Z143" s="1805"/>
      <c r="AA143" s="1805"/>
      <c r="AB143" s="1805"/>
      <c r="AC143" s="1805"/>
      <c r="AD143" s="1805"/>
      <c r="AE143" s="22"/>
      <c r="AF143" s="22"/>
      <c r="AG143" s="22"/>
      <c r="AH143" s="22"/>
      <c r="AI143" s="22"/>
      <c r="AJ143" s="22"/>
    </row>
    <row r="144" spans="1:36" x14ac:dyDescent="0.2">
      <c r="A144" s="15" t="str">
        <f t="shared" si="1"/>
        <v>Hopfen-MgO-leicht-D</v>
      </c>
      <c r="B144" s="15" t="s">
        <v>3415</v>
      </c>
      <c r="C144" s="15" t="s">
        <v>25</v>
      </c>
      <c r="D144" s="15" t="s">
        <v>3635</v>
      </c>
      <c r="E144" s="15" t="s">
        <v>3337</v>
      </c>
      <c r="F144" s="15">
        <v>15</v>
      </c>
      <c r="G144" s="1805"/>
      <c r="H144" s="22"/>
      <c r="I144" s="22"/>
      <c r="J144" s="22"/>
      <c r="K144" s="1805"/>
      <c r="L144" s="1805"/>
      <c r="M144" s="1805"/>
      <c r="N144" s="1805"/>
      <c r="O144" s="1805"/>
      <c r="P144" s="1805"/>
      <c r="Q144" s="1805"/>
      <c r="R144" s="1805"/>
      <c r="S144" s="1805"/>
      <c r="T144" s="1805"/>
      <c r="U144" s="1805"/>
      <c r="V144" s="1805"/>
      <c r="W144" s="1805"/>
      <c r="X144" s="1805"/>
      <c r="Y144" s="1805"/>
      <c r="Z144" s="1805"/>
      <c r="AA144" s="1805"/>
      <c r="AB144" s="1805"/>
      <c r="AC144" s="1805"/>
      <c r="AD144" s="1805"/>
      <c r="AE144" s="22"/>
      <c r="AF144" s="22"/>
      <c r="AG144" s="22"/>
      <c r="AH144" s="22"/>
      <c r="AI144" s="22"/>
      <c r="AJ144" s="22"/>
    </row>
    <row r="145" spans="1:36" x14ac:dyDescent="0.2">
      <c r="A145" s="15" t="str">
        <f t="shared" si="1"/>
        <v>Hopfen-MgO-mittel-A</v>
      </c>
      <c r="B145" s="15" t="s">
        <v>3415</v>
      </c>
      <c r="C145" s="15" t="s">
        <v>25</v>
      </c>
      <c r="D145" s="15" t="s">
        <v>3453</v>
      </c>
      <c r="E145" s="15" t="s">
        <v>3330</v>
      </c>
      <c r="F145" s="15">
        <v>5</v>
      </c>
      <c r="G145" s="1805"/>
      <c r="H145" s="22"/>
      <c r="I145" s="22"/>
      <c r="J145" s="22"/>
      <c r="K145" s="1805"/>
      <c r="L145" s="1805"/>
      <c r="M145" s="1805"/>
      <c r="N145" s="1805"/>
      <c r="O145" s="1805"/>
      <c r="P145" s="1805"/>
      <c r="Q145" s="1805"/>
      <c r="R145" s="1805"/>
      <c r="S145" s="1805"/>
      <c r="T145" s="1805"/>
      <c r="U145" s="1805"/>
      <c r="V145" s="1805"/>
      <c r="W145" s="1805"/>
      <c r="X145" s="1805"/>
      <c r="Y145" s="1805"/>
      <c r="Z145" s="1805"/>
      <c r="AA145" s="1805"/>
      <c r="AB145" s="1805"/>
      <c r="AC145" s="1805"/>
      <c r="AD145" s="1805"/>
      <c r="AE145" s="22"/>
      <c r="AF145" s="22"/>
      <c r="AG145" s="22"/>
      <c r="AH145" s="22"/>
      <c r="AI145" s="22"/>
      <c r="AJ145" s="22"/>
    </row>
    <row r="146" spans="1:36" x14ac:dyDescent="0.2">
      <c r="A146" s="15" t="str">
        <f t="shared" si="1"/>
        <v>Hopfen-MgO-mittel-B</v>
      </c>
      <c r="B146" s="15" t="s">
        <v>3415</v>
      </c>
      <c r="C146" s="15" t="s">
        <v>25</v>
      </c>
      <c r="D146" s="15" t="s">
        <v>3453</v>
      </c>
      <c r="E146" s="15" t="s">
        <v>3335</v>
      </c>
      <c r="F146" s="15">
        <v>12</v>
      </c>
      <c r="G146" s="1805"/>
      <c r="H146" s="22"/>
      <c r="I146" s="22"/>
      <c r="J146" s="22"/>
      <c r="K146" s="1805"/>
      <c r="L146" s="1805"/>
      <c r="M146" s="1805"/>
      <c r="N146" s="1805"/>
      <c r="O146" s="1805"/>
      <c r="P146" s="1805"/>
      <c r="Q146" s="1805"/>
      <c r="R146" s="1805"/>
      <c r="S146" s="1805"/>
      <c r="T146" s="1805"/>
      <c r="U146" s="1805"/>
      <c r="V146" s="1805"/>
      <c r="W146" s="1805"/>
      <c r="X146" s="1805"/>
      <c r="Y146" s="1805"/>
      <c r="Z146" s="1805"/>
      <c r="AA146" s="1805"/>
      <c r="AB146" s="1805"/>
      <c r="AC146" s="1805"/>
      <c r="AD146" s="1805"/>
      <c r="AE146" s="22"/>
      <c r="AF146" s="22"/>
      <c r="AG146" s="22"/>
      <c r="AH146" s="22"/>
      <c r="AI146" s="22"/>
      <c r="AJ146" s="22"/>
    </row>
    <row r="147" spans="1:36" x14ac:dyDescent="0.2">
      <c r="A147" s="15" t="str">
        <f t="shared" si="1"/>
        <v>Hopfen-MgO-mittel-C</v>
      </c>
      <c r="B147" s="15" t="s">
        <v>3415</v>
      </c>
      <c r="C147" s="15" t="s">
        <v>25</v>
      </c>
      <c r="D147" s="15" t="s">
        <v>3453</v>
      </c>
      <c r="E147" s="15" t="s">
        <v>3336</v>
      </c>
      <c r="F147" s="15">
        <v>20</v>
      </c>
      <c r="G147" s="1805"/>
      <c r="H147" s="22"/>
      <c r="I147" s="22"/>
      <c r="J147" s="22"/>
      <c r="K147" s="1805"/>
      <c r="L147" s="1805"/>
      <c r="M147" s="1805"/>
      <c r="N147" s="1805"/>
      <c r="O147" s="1805"/>
      <c r="P147" s="1805"/>
      <c r="Q147" s="1805"/>
      <c r="R147" s="1805"/>
      <c r="S147" s="1805"/>
      <c r="T147" s="1805"/>
      <c r="U147" s="1805"/>
      <c r="V147" s="1805"/>
      <c r="W147" s="1805"/>
      <c r="X147" s="1805"/>
      <c r="Y147" s="1805"/>
      <c r="Z147" s="1805"/>
      <c r="AA147" s="1805"/>
      <c r="AB147" s="1805"/>
      <c r="AC147" s="1805"/>
      <c r="AD147" s="1805"/>
      <c r="AE147" s="22"/>
      <c r="AF147" s="22"/>
      <c r="AG147" s="22"/>
      <c r="AH147" s="22"/>
      <c r="AI147" s="22"/>
      <c r="AJ147" s="22"/>
    </row>
    <row r="148" spans="1:36" x14ac:dyDescent="0.2">
      <c r="A148" s="15" t="str">
        <f t="shared" si="1"/>
        <v>Hopfen-MgO-mittel-D</v>
      </c>
      <c r="B148" s="15" t="s">
        <v>3415</v>
      </c>
      <c r="C148" s="15" t="s">
        <v>25</v>
      </c>
      <c r="D148" s="15" t="s">
        <v>3453</v>
      </c>
      <c r="E148" s="15" t="s">
        <v>3337</v>
      </c>
      <c r="F148" s="15">
        <v>30</v>
      </c>
      <c r="G148" s="1805"/>
      <c r="H148" s="22"/>
      <c r="I148" s="22"/>
      <c r="J148" s="22"/>
      <c r="K148" s="1805"/>
      <c r="L148" s="1805"/>
      <c r="M148" s="1805"/>
      <c r="N148" s="1805"/>
      <c r="O148" s="1805"/>
      <c r="P148" s="1805"/>
      <c r="Q148" s="1805"/>
      <c r="R148" s="1805"/>
      <c r="S148" s="1805"/>
      <c r="T148" s="1805"/>
      <c r="U148" s="1805"/>
      <c r="V148" s="1805"/>
      <c r="W148" s="1805"/>
      <c r="X148" s="1805"/>
      <c r="Y148" s="1805"/>
      <c r="Z148" s="1805"/>
      <c r="AA148" s="1805"/>
      <c r="AB148" s="1805"/>
      <c r="AC148" s="1805"/>
      <c r="AD148" s="1805"/>
      <c r="AE148" s="22"/>
      <c r="AF148" s="22"/>
      <c r="AG148" s="22"/>
      <c r="AH148" s="22"/>
      <c r="AI148" s="22"/>
      <c r="AJ148" s="22"/>
    </row>
    <row r="149" spans="1:36" x14ac:dyDescent="0.2">
      <c r="A149" s="15" t="str">
        <f t="shared" si="1"/>
        <v>Hopfen-MgO-Moor-A</v>
      </c>
      <c r="B149" s="15" t="s">
        <v>3415</v>
      </c>
      <c r="C149" s="15" t="s">
        <v>25</v>
      </c>
      <c r="D149" s="15" t="s">
        <v>3369</v>
      </c>
      <c r="E149" s="15" t="s">
        <v>3330</v>
      </c>
      <c r="F149" s="15">
        <v>5</v>
      </c>
      <c r="G149" s="1805"/>
      <c r="H149" s="22"/>
      <c r="I149" s="22"/>
      <c r="J149" s="22"/>
      <c r="K149" s="1805"/>
      <c r="L149" s="1805"/>
      <c r="M149" s="1805"/>
      <c r="N149" s="1805"/>
      <c r="O149" s="1805"/>
      <c r="P149" s="1805"/>
      <c r="Q149" s="1805"/>
      <c r="R149" s="1805"/>
      <c r="S149" s="1805"/>
      <c r="T149" s="1805"/>
      <c r="U149" s="1805"/>
      <c r="V149" s="1805"/>
      <c r="W149" s="1805"/>
      <c r="X149" s="1805"/>
      <c r="Y149" s="1805"/>
      <c r="Z149" s="1805"/>
      <c r="AA149" s="1805"/>
      <c r="AB149" s="1805"/>
      <c r="AC149" s="1805"/>
      <c r="AD149" s="1805"/>
      <c r="AE149" s="22"/>
      <c r="AF149" s="22"/>
      <c r="AG149" s="22"/>
      <c r="AH149" s="22"/>
      <c r="AI149" s="22"/>
      <c r="AJ149" s="22"/>
    </row>
    <row r="150" spans="1:36" x14ac:dyDescent="0.2">
      <c r="A150" s="15" t="str">
        <f t="shared" si="1"/>
        <v>Hopfen-MgO-Moor-B</v>
      </c>
      <c r="B150" s="15" t="s">
        <v>3415</v>
      </c>
      <c r="C150" s="15" t="s">
        <v>25</v>
      </c>
      <c r="D150" s="15" t="s">
        <v>3369</v>
      </c>
      <c r="E150" s="15" t="s">
        <v>3335</v>
      </c>
      <c r="F150" s="15">
        <v>10</v>
      </c>
      <c r="G150" s="1805"/>
      <c r="H150" s="22"/>
      <c r="I150" s="22"/>
      <c r="J150" s="22"/>
      <c r="K150" s="1805"/>
      <c r="L150" s="1805"/>
      <c r="M150" s="1805"/>
      <c r="N150" s="1805"/>
      <c r="O150" s="1805"/>
      <c r="P150" s="1805"/>
      <c r="Q150" s="1805"/>
      <c r="R150" s="1805"/>
      <c r="S150" s="1805"/>
      <c r="T150" s="1805"/>
      <c r="U150" s="1805"/>
      <c r="V150" s="1805"/>
      <c r="W150" s="1805"/>
      <c r="X150" s="1805"/>
      <c r="Y150" s="1805"/>
      <c r="Z150" s="1805"/>
      <c r="AA150" s="1805"/>
      <c r="AB150" s="1805"/>
      <c r="AC150" s="1805"/>
      <c r="AD150" s="1805"/>
      <c r="AE150" s="22"/>
      <c r="AF150" s="22"/>
      <c r="AG150" s="22"/>
      <c r="AH150" s="22"/>
      <c r="AI150" s="22"/>
      <c r="AJ150" s="22"/>
    </row>
    <row r="151" spans="1:36" x14ac:dyDescent="0.2">
      <c r="A151" s="15" t="str">
        <f t="shared" si="1"/>
        <v>Hopfen-MgO-Moor-C</v>
      </c>
      <c r="B151" s="15" t="s">
        <v>3415</v>
      </c>
      <c r="C151" s="15" t="s">
        <v>25</v>
      </c>
      <c r="D151" s="15" t="s">
        <v>3369</v>
      </c>
      <c r="E151" s="15" t="s">
        <v>3336</v>
      </c>
      <c r="F151" s="15">
        <v>15</v>
      </c>
      <c r="G151" s="1805"/>
      <c r="H151" s="22"/>
      <c r="I151" s="22"/>
      <c r="J151" s="22"/>
      <c r="K151" s="1805"/>
      <c r="L151" s="1805"/>
      <c r="M151" s="1805"/>
      <c r="N151" s="1805"/>
      <c r="O151" s="1805"/>
      <c r="P151" s="1805"/>
      <c r="Q151" s="1805"/>
      <c r="R151" s="1805"/>
      <c r="S151" s="1805"/>
      <c r="T151" s="1805"/>
      <c r="U151" s="1805"/>
      <c r="V151" s="1805"/>
      <c r="W151" s="1805"/>
      <c r="X151" s="1805"/>
      <c r="Y151" s="1805"/>
      <c r="Z151" s="1805"/>
      <c r="AA151" s="1805"/>
      <c r="AB151" s="1805"/>
      <c r="AC151" s="1805"/>
      <c r="AD151" s="1805"/>
      <c r="AE151" s="22"/>
      <c r="AF151" s="22"/>
      <c r="AG151" s="22"/>
      <c r="AH151" s="22"/>
      <c r="AI151" s="22"/>
      <c r="AJ151" s="22"/>
    </row>
    <row r="152" spans="1:36" x14ac:dyDescent="0.2">
      <c r="A152" s="15" t="str">
        <f t="shared" si="1"/>
        <v>Hopfen-MgO-Moor-D</v>
      </c>
      <c r="B152" s="15" t="s">
        <v>3415</v>
      </c>
      <c r="C152" s="15" t="s">
        <v>25</v>
      </c>
      <c r="D152" s="15" t="s">
        <v>3369</v>
      </c>
      <c r="E152" s="15" t="s">
        <v>3337</v>
      </c>
      <c r="F152" s="15">
        <v>25</v>
      </c>
      <c r="G152" s="1805"/>
      <c r="H152" s="22"/>
      <c r="I152" s="22"/>
      <c r="J152" s="22"/>
      <c r="K152" s="1805"/>
      <c r="L152" s="1805"/>
      <c r="M152" s="1805"/>
      <c r="N152" s="1805"/>
      <c r="O152" s="1805"/>
      <c r="P152" s="1805"/>
      <c r="Q152" s="1805"/>
      <c r="R152" s="1805"/>
      <c r="S152" s="1805"/>
      <c r="T152" s="1805"/>
      <c r="U152" s="1805"/>
      <c r="V152" s="1805"/>
      <c r="W152" s="1805"/>
      <c r="X152" s="1805"/>
      <c r="Y152" s="1805"/>
      <c r="Z152" s="1805"/>
      <c r="AA152" s="1805"/>
      <c r="AB152" s="1805"/>
      <c r="AC152" s="1805"/>
      <c r="AD152" s="1805"/>
      <c r="AE152" s="22"/>
      <c r="AF152" s="22"/>
      <c r="AG152" s="22"/>
      <c r="AH152" s="22"/>
      <c r="AI152" s="22"/>
      <c r="AJ152" s="22"/>
    </row>
    <row r="153" spans="1:36" x14ac:dyDescent="0.2">
      <c r="A153" s="15" t="str">
        <f t="shared" si="1"/>
        <v>Hopfen-MgO-schwer-A</v>
      </c>
      <c r="B153" s="15" t="s">
        <v>3415</v>
      </c>
      <c r="C153" s="15" t="s">
        <v>25</v>
      </c>
      <c r="D153" s="15" t="s">
        <v>3640</v>
      </c>
      <c r="E153" s="15" t="s">
        <v>3330</v>
      </c>
      <c r="F153" s="15">
        <v>7</v>
      </c>
      <c r="G153" s="1805"/>
      <c r="H153" s="22"/>
      <c r="I153" s="22"/>
      <c r="J153" s="22"/>
      <c r="K153" s="1805"/>
      <c r="L153" s="1805"/>
      <c r="M153" s="1805"/>
      <c r="N153" s="1805"/>
      <c r="O153" s="1805"/>
      <c r="P153" s="1805"/>
      <c r="Q153" s="1805"/>
      <c r="R153" s="1805"/>
      <c r="S153" s="1805"/>
      <c r="T153" s="1805"/>
      <c r="U153" s="1805"/>
      <c r="V153" s="1805"/>
      <c r="W153" s="1805"/>
      <c r="X153" s="1805"/>
      <c r="Y153" s="1805"/>
      <c r="Z153" s="1805"/>
      <c r="AA153" s="1805"/>
      <c r="AB153" s="1805"/>
      <c r="AC153" s="1805"/>
      <c r="AD153" s="1805"/>
      <c r="AE153" s="22"/>
      <c r="AF153" s="22"/>
      <c r="AG153" s="22"/>
      <c r="AH153" s="22"/>
      <c r="AI153" s="22"/>
      <c r="AJ153" s="22"/>
    </row>
    <row r="154" spans="1:36" x14ac:dyDescent="0.2">
      <c r="A154" s="15" t="str">
        <f t="shared" si="1"/>
        <v>Hopfen-MgO-schwer-B</v>
      </c>
      <c r="B154" s="15" t="s">
        <v>3415</v>
      </c>
      <c r="C154" s="15" t="s">
        <v>25</v>
      </c>
      <c r="D154" s="15" t="s">
        <v>3640</v>
      </c>
      <c r="E154" s="15" t="s">
        <v>3335</v>
      </c>
      <c r="F154" s="15">
        <v>14</v>
      </c>
      <c r="G154" s="1805"/>
      <c r="H154" s="22"/>
      <c r="I154" s="22"/>
      <c r="J154" s="22"/>
      <c r="K154" s="1805"/>
      <c r="L154" s="1805"/>
      <c r="M154" s="1805"/>
      <c r="N154" s="1805"/>
      <c r="O154" s="1805"/>
      <c r="P154" s="1805"/>
      <c r="Q154" s="1805"/>
      <c r="R154" s="1805"/>
      <c r="S154" s="1805"/>
      <c r="T154" s="1805"/>
      <c r="U154" s="1805"/>
      <c r="V154" s="1805"/>
      <c r="W154" s="1805"/>
      <c r="X154" s="1805"/>
      <c r="Y154" s="1805"/>
      <c r="Z154" s="1805"/>
      <c r="AA154" s="1805"/>
      <c r="AB154" s="1805"/>
      <c r="AC154" s="1805"/>
      <c r="AD154" s="1805"/>
      <c r="AE154" s="22"/>
      <c r="AF154" s="22"/>
      <c r="AG154" s="22"/>
      <c r="AH154" s="22"/>
      <c r="AI154" s="22"/>
      <c r="AJ154" s="22"/>
    </row>
    <row r="155" spans="1:36" x14ac:dyDescent="0.2">
      <c r="A155" s="15" t="str">
        <f t="shared" si="1"/>
        <v>Hopfen-MgO-schwer-C</v>
      </c>
      <c r="B155" s="15" t="s">
        <v>3415</v>
      </c>
      <c r="C155" s="15" t="s">
        <v>25</v>
      </c>
      <c r="D155" s="15" t="s">
        <v>3640</v>
      </c>
      <c r="E155" s="15" t="s">
        <v>3336</v>
      </c>
      <c r="F155" s="15">
        <v>25</v>
      </c>
      <c r="G155" s="1805"/>
      <c r="H155" s="22"/>
      <c r="I155" s="22"/>
      <c r="J155" s="22"/>
      <c r="K155" s="1805"/>
      <c r="L155" s="1805"/>
      <c r="M155" s="1805"/>
      <c r="N155" s="1805"/>
      <c r="O155" s="1805"/>
      <c r="P155" s="1805"/>
      <c r="Q155" s="1805"/>
      <c r="R155" s="1805"/>
      <c r="S155" s="1805"/>
      <c r="T155" s="1805"/>
      <c r="U155" s="1805"/>
      <c r="V155" s="1805"/>
      <c r="W155" s="1805"/>
      <c r="X155" s="1805"/>
      <c r="Y155" s="1805"/>
      <c r="Z155" s="1805"/>
      <c r="AA155" s="1805"/>
      <c r="AB155" s="1805"/>
      <c r="AC155" s="1805"/>
      <c r="AD155" s="1805"/>
      <c r="AE155" s="22"/>
      <c r="AF155" s="22"/>
      <c r="AG155" s="22"/>
      <c r="AH155" s="22"/>
      <c r="AI155" s="22"/>
      <c r="AJ155" s="22"/>
    </row>
    <row r="156" spans="1:36" x14ac:dyDescent="0.2">
      <c r="A156" s="15" t="str">
        <f t="shared" si="1"/>
        <v>Hopfen-MgO-schwer-D</v>
      </c>
      <c r="B156" s="15" t="s">
        <v>3415</v>
      </c>
      <c r="C156" s="15" t="s">
        <v>25</v>
      </c>
      <c r="D156" s="15" t="s">
        <v>3640</v>
      </c>
      <c r="E156" s="15" t="s">
        <v>3337</v>
      </c>
      <c r="F156" s="15">
        <v>40</v>
      </c>
      <c r="G156" s="1805"/>
      <c r="H156" s="22"/>
      <c r="I156" s="22"/>
      <c r="J156" s="22"/>
      <c r="K156" s="1805"/>
      <c r="L156" s="1805"/>
      <c r="M156" s="1805"/>
      <c r="N156" s="1805"/>
      <c r="O156" s="1805"/>
      <c r="P156" s="1805"/>
      <c r="Q156" s="1805"/>
      <c r="R156" s="1805"/>
      <c r="S156" s="1805"/>
      <c r="T156" s="1805"/>
      <c r="U156" s="1805"/>
      <c r="V156" s="1805"/>
      <c r="W156" s="1805"/>
      <c r="X156" s="1805"/>
      <c r="Y156" s="1805"/>
      <c r="Z156" s="1805"/>
      <c r="AA156" s="1805"/>
      <c r="AB156" s="1805"/>
      <c r="AC156" s="1805"/>
      <c r="AD156" s="1805"/>
      <c r="AE156" s="22"/>
      <c r="AF156" s="22"/>
      <c r="AG156" s="22"/>
      <c r="AH156" s="22"/>
      <c r="AI156" s="22"/>
      <c r="AJ156" s="22"/>
    </row>
    <row r="157" spans="1:36" x14ac:dyDescent="0.2">
      <c r="A157" s="15" t="str">
        <f t="shared" si="1"/>
        <v>Obst-MgO-leicht-A</v>
      </c>
      <c r="B157" s="15" t="s">
        <v>3650</v>
      </c>
      <c r="C157" s="15" t="s">
        <v>25</v>
      </c>
      <c r="D157" s="15" t="s">
        <v>3635</v>
      </c>
      <c r="E157" s="15" t="s">
        <v>3330</v>
      </c>
      <c r="F157" s="15">
        <v>5</v>
      </c>
      <c r="G157" s="1805"/>
      <c r="H157" s="22"/>
      <c r="I157" s="22"/>
      <c r="J157" s="22"/>
      <c r="K157" s="1805"/>
      <c r="L157" s="1805"/>
      <c r="M157" s="1805"/>
      <c r="N157" s="1805"/>
      <c r="O157" s="1805"/>
      <c r="P157" s="1805"/>
      <c r="Q157" s="1805"/>
      <c r="R157" s="1805"/>
      <c r="S157" s="1805"/>
      <c r="T157" s="1805"/>
      <c r="U157" s="1805"/>
      <c r="V157" s="1805"/>
      <c r="W157" s="1805"/>
      <c r="X157" s="1805"/>
      <c r="Y157" s="1805"/>
      <c r="Z157" s="1805"/>
      <c r="AA157" s="1805"/>
      <c r="AB157" s="1805"/>
      <c r="AC157" s="1805"/>
      <c r="AD157" s="1805"/>
      <c r="AE157" s="22"/>
      <c r="AF157" s="22"/>
      <c r="AG157" s="22"/>
      <c r="AH157" s="22"/>
      <c r="AI157" s="22"/>
      <c r="AJ157" s="22"/>
    </row>
    <row r="158" spans="1:36" x14ac:dyDescent="0.2">
      <c r="A158" s="15" t="str">
        <f t="shared" si="1"/>
        <v>Obst-MgO-leicht-B</v>
      </c>
      <c r="B158" s="15" t="s">
        <v>3650</v>
      </c>
      <c r="C158" s="15" t="s">
        <v>25</v>
      </c>
      <c r="D158" s="15" t="s">
        <v>3635</v>
      </c>
      <c r="E158" s="15" t="s">
        <v>3335</v>
      </c>
      <c r="F158" s="15">
        <v>0</v>
      </c>
      <c r="G158" s="1805"/>
      <c r="H158" s="22"/>
      <c r="I158" s="22"/>
      <c r="J158" s="22"/>
      <c r="K158" s="1805"/>
      <c r="L158" s="1805"/>
      <c r="M158" s="1805"/>
      <c r="N158" s="1805"/>
      <c r="O158" s="1805"/>
      <c r="P158" s="1805"/>
      <c r="Q158" s="1805"/>
      <c r="R158" s="1805"/>
      <c r="S158" s="1805"/>
      <c r="T158" s="1805"/>
      <c r="U158" s="1805"/>
      <c r="V158" s="1805"/>
      <c r="W158" s="1805"/>
      <c r="X158" s="1805"/>
      <c r="Y158" s="1805"/>
      <c r="Z158" s="1805"/>
      <c r="AA158" s="1805"/>
      <c r="AB158" s="1805"/>
      <c r="AC158" s="1805"/>
      <c r="AD158" s="1805"/>
      <c r="AE158" s="22"/>
      <c r="AF158" s="22"/>
      <c r="AG158" s="22"/>
      <c r="AH158" s="22"/>
      <c r="AI158" s="22"/>
      <c r="AJ158" s="22"/>
    </row>
    <row r="159" spans="1:36" x14ac:dyDescent="0.2">
      <c r="A159" s="15" t="str">
        <f t="shared" si="1"/>
        <v>Obst-MgO-leicht-C</v>
      </c>
      <c r="B159" s="15" t="s">
        <v>3650</v>
      </c>
      <c r="C159" s="15" t="s">
        <v>25</v>
      </c>
      <c r="D159" s="15" t="s">
        <v>3635</v>
      </c>
      <c r="E159" s="15" t="s">
        <v>3336</v>
      </c>
      <c r="F159" s="15">
        <v>10</v>
      </c>
      <c r="G159" s="1805"/>
      <c r="H159" s="22"/>
      <c r="I159" s="22"/>
      <c r="J159" s="22"/>
      <c r="K159" s="1805"/>
      <c r="L159" s="1805"/>
      <c r="M159" s="1805"/>
      <c r="N159" s="1805"/>
      <c r="O159" s="1805"/>
      <c r="P159" s="1805"/>
      <c r="Q159" s="1805"/>
      <c r="R159" s="1805"/>
      <c r="S159" s="1805"/>
      <c r="T159" s="1805"/>
      <c r="U159" s="1805"/>
      <c r="V159" s="1805"/>
      <c r="W159" s="1805"/>
      <c r="X159" s="1805"/>
      <c r="Y159" s="1805"/>
      <c r="Z159" s="1805"/>
      <c r="AA159" s="1805"/>
      <c r="AB159" s="1805"/>
      <c r="AC159" s="1805"/>
      <c r="AD159" s="1805"/>
      <c r="AE159" s="22"/>
      <c r="AF159" s="22"/>
      <c r="AG159" s="22"/>
      <c r="AH159" s="22"/>
      <c r="AI159" s="22"/>
      <c r="AJ159" s="22"/>
    </row>
    <row r="160" spans="1:36" x14ac:dyDescent="0.2">
      <c r="A160" s="15" t="str">
        <f t="shared" si="1"/>
        <v>Obst-MgO-leicht-D</v>
      </c>
      <c r="B160" s="15" t="s">
        <v>3650</v>
      </c>
      <c r="C160" s="15" t="s">
        <v>25</v>
      </c>
      <c r="D160" s="15" t="s">
        <v>3635</v>
      </c>
      <c r="E160" s="15" t="s">
        <v>3337</v>
      </c>
      <c r="F160" s="15">
        <v>0</v>
      </c>
      <c r="G160" s="1805"/>
      <c r="H160" s="22"/>
      <c r="I160" s="22"/>
      <c r="J160" s="22"/>
      <c r="K160" s="1805"/>
      <c r="L160" s="1805"/>
      <c r="M160" s="1805"/>
      <c r="N160" s="1805"/>
      <c r="O160" s="1805"/>
      <c r="P160" s="1805"/>
      <c r="Q160" s="1805"/>
      <c r="R160" s="1805"/>
      <c r="S160" s="1805"/>
      <c r="T160" s="1805"/>
      <c r="U160" s="1805"/>
      <c r="V160" s="1805"/>
      <c r="W160" s="1805"/>
      <c r="X160" s="1805"/>
      <c r="Y160" s="1805"/>
      <c r="Z160" s="1805"/>
      <c r="AA160" s="1805"/>
      <c r="AB160" s="1805"/>
      <c r="AC160" s="1805"/>
      <c r="AD160" s="1805"/>
      <c r="AE160" s="22"/>
      <c r="AF160" s="22"/>
      <c r="AG160" s="22"/>
      <c r="AH160" s="22"/>
      <c r="AI160" s="22"/>
      <c r="AJ160" s="22"/>
    </row>
    <row r="161" spans="1:36" x14ac:dyDescent="0.2">
      <c r="A161" s="15" t="str">
        <f t="shared" si="1"/>
        <v>Obst-MgO-mittel-A</v>
      </c>
      <c r="B161" s="15" t="s">
        <v>3650</v>
      </c>
      <c r="C161" s="15" t="s">
        <v>25</v>
      </c>
      <c r="D161" s="15" t="s">
        <v>3453</v>
      </c>
      <c r="E161" s="15" t="s">
        <v>3330</v>
      </c>
      <c r="F161" s="15">
        <v>9</v>
      </c>
      <c r="G161" s="1805"/>
      <c r="H161" s="22"/>
      <c r="I161" s="22"/>
      <c r="J161" s="22"/>
      <c r="K161" s="1805"/>
      <c r="L161" s="1805"/>
      <c r="M161" s="1805"/>
      <c r="N161" s="1805"/>
      <c r="O161" s="1805"/>
      <c r="P161" s="1805"/>
      <c r="Q161" s="1805"/>
      <c r="R161" s="1805"/>
      <c r="S161" s="1805"/>
      <c r="T161" s="1805"/>
      <c r="U161" s="1805"/>
      <c r="V161" s="1805"/>
      <c r="W161" s="1805"/>
      <c r="X161" s="1805"/>
      <c r="Y161" s="1805"/>
      <c r="Z161" s="1805"/>
      <c r="AA161" s="1805"/>
      <c r="AB161" s="1805"/>
      <c r="AC161" s="1805"/>
      <c r="AD161" s="1805"/>
      <c r="AE161" s="22"/>
      <c r="AF161" s="22"/>
      <c r="AG161" s="22"/>
      <c r="AH161" s="22"/>
      <c r="AI161" s="22"/>
      <c r="AJ161" s="22"/>
    </row>
    <row r="162" spans="1:36" x14ac:dyDescent="0.2">
      <c r="A162" s="15" t="str">
        <f t="shared" si="1"/>
        <v>Obst-MgO-mittel-B</v>
      </c>
      <c r="B162" s="15" t="s">
        <v>3650</v>
      </c>
      <c r="C162" s="15" t="s">
        <v>25</v>
      </c>
      <c r="D162" s="15" t="s">
        <v>3453</v>
      </c>
      <c r="E162" s="15" t="s">
        <v>3335</v>
      </c>
      <c r="F162" s="15">
        <v>0</v>
      </c>
      <c r="G162" s="1805"/>
      <c r="H162" s="22"/>
      <c r="I162" s="22"/>
      <c r="J162" s="22"/>
      <c r="K162" s="1805"/>
      <c r="L162" s="1805"/>
      <c r="M162" s="1805"/>
      <c r="N162" s="1805"/>
      <c r="O162" s="1805"/>
      <c r="P162" s="1805"/>
      <c r="Q162" s="1805"/>
      <c r="R162" s="1805"/>
      <c r="S162" s="1805"/>
      <c r="T162" s="1805"/>
      <c r="U162" s="1805"/>
      <c r="V162" s="1805"/>
      <c r="W162" s="1805"/>
      <c r="X162" s="1805"/>
      <c r="Y162" s="1805"/>
      <c r="Z162" s="1805"/>
      <c r="AA162" s="1805"/>
      <c r="AB162" s="1805"/>
      <c r="AC162" s="1805"/>
      <c r="AD162" s="1805"/>
      <c r="AE162" s="22"/>
      <c r="AF162" s="22"/>
      <c r="AG162" s="22"/>
      <c r="AH162" s="22"/>
      <c r="AI162" s="22"/>
      <c r="AJ162" s="22"/>
    </row>
    <row r="163" spans="1:36" x14ac:dyDescent="0.2">
      <c r="A163" s="15" t="str">
        <f t="shared" si="1"/>
        <v>Obst-MgO-mittel-C</v>
      </c>
      <c r="B163" s="15" t="s">
        <v>3650</v>
      </c>
      <c r="C163" s="15" t="s">
        <v>25</v>
      </c>
      <c r="D163" s="15" t="s">
        <v>3453</v>
      </c>
      <c r="E163" s="15" t="s">
        <v>3336</v>
      </c>
      <c r="F163" s="15">
        <v>15</v>
      </c>
      <c r="G163" s="1805"/>
      <c r="H163" s="22"/>
      <c r="I163" s="22"/>
      <c r="J163" s="22"/>
      <c r="K163" s="1805"/>
      <c r="L163" s="1805"/>
      <c r="M163" s="1805"/>
      <c r="N163" s="1805"/>
      <c r="O163" s="1805"/>
      <c r="P163" s="1805"/>
      <c r="Q163" s="1805"/>
      <c r="R163" s="1805"/>
      <c r="S163" s="1805"/>
      <c r="T163" s="1805"/>
      <c r="U163" s="1805"/>
      <c r="V163" s="1805"/>
      <c r="W163" s="1805"/>
      <c r="X163" s="1805"/>
      <c r="Y163" s="1805"/>
      <c r="Z163" s="1805"/>
      <c r="AA163" s="1805"/>
      <c r="AB163" s="1805"/>
      <c r="AC163" s="1805"/>
      <c r="AD163" s="1805"/>
      <c r="AE163" s="22"/>
      <c r="AF163" s="22"/>
      <c r="AG163" s="22"/>
      <c r="AH163" s="22"/>
      <c r="AI163" s="22"/>
      <c r="AJ163" s="22"/>
    </row>
    <row r="164" spans="1:36" x14ac:dyDescent="0.2">
      <c r="A164" s="15" t="str">
        <f t="shared" si="1"/>
        <v>Obst-MgO-mittel-D</v>
      </c>
      <c r="B164" s="15" t="s">
        <v>3650</v>
      </c>
      <c r="C164" s="15" t="s">
        <v>25</v>
      </c>
      <c r="D164" s="15" t="s">
        <v>3453</v>
      </c>
      <c r="E164" s="15" t="s">
        <v>3337</v>
      </c>
      <c r="F164" s="15">
        <v>0</v>
      </c>
      <c r="G164" s="1805"/>
      <c r="H164" s="22"/>
      <c r="I164" s="22"/>
      <c r="J164" s="22"/>
      <c r="K164" s="1805"/>
      <c r="L164" s="1805"/>
      <c r="M164" s="1805"/>
      <c r="N164" s="1805"/>
      <c r="O164" s="1805"/>
      <c r="P164" s="1805"/>
      <c r="Q164" s="1805"/>
      <c r="R164" s="1805"/>
      <c r="S164" s="1805"/>
      <c r="T164" s="1805"/>
      <c r="U164" s="1805"/>
      <c r="V164" s="1805"/>
      <c r="W164" s="1805"/>
      <c r="X164" s="1805"/>
      <c r="Y164" s="1805"/>
      <c r="Z164" s="1805"/>
      <c r="AA164" s="1805"/>
      <c r="AB164" s="1805"/>
      <c r="AC164" s="1805"/>
      <c r="AD164" s="1805"/>
      <c r="AE164" s="22"/>
      <c r="AF164" s="22"/>
      <c r="AG164" s="22"/>
      <c r="AH164" s="22"/>
      <c r="AI164" s="22"/>
      <c r="AJ164" s="22"/>
    </row>
    <row r="165" spans="1:36" x14ac:dyDescent="0.2">
      <c r="A165" s="15" t="str">
        <f t="shared" si="1"/>
        <v>Obst-MgO-Moor-A</v>
      </c>
      <c r="B165" s="4" t="s">
        <v>3650</v>
      </c>
      <c r="C165" s="15" t="s">
        <v>25</v>
      </c>
      <c r="D165" s="15" t="s">
        <v>3369</v>
      </c>
      <c r="E165" s="15" t="s">
        <v>3330</v>
      </c>
      <c r="F165" s="15">
        <v>5</v>
      </c>
      <c r="G165" s="1805"/>
      <c r="H165" s="22"/>
      <c r="I165" s="22"/>
      <c r="J165" s="22"/>
      <c r="K165" s="1805"/>
      <c r="L165" s="1805"/>
      <c r="M165" s="1805"/>
      <c r="N165" s="1805"/>
      <c r="O165" s="1805"/>
      <c r="P165" s="1805"/>
      <c r="Q165" s="1805"/>
      <c r="R165" s="1805"/>
      <c r="S165" s="1805"/>
      <c r="T165" s="1805"/>
      <c r="U165" s="1805"/>
      <c r="V165" s="1805"/>
      <c r="W165" s="1805"/>
      <c r="X165" s="1805"/>
      <c r="Y165" s="1805"/>
      <c r="Z165" s="1805"/>
      <c r="AA165" s="1805"/>
      <c r="AB165" s="1805"/>
      <c r="AC165" s="1805"/>
      <c r="AD165" s="1805"/>
      <c r="AE165" s="22"/>
      <c r="AF165" s="22"/>
      <c r="AG165" s="22"/>
      <c r="AH165" s="22"/>
      <c r="AI165" s="22"/>
      <c r="AJ165" s="22"/>
    </row>
    <row r="166" spans="1:36" x14ac:dyDescent="0.2">
      <c r="A166" s="15" t="str">
        <f t="shared" si="1"/>
        <v>Obst-MgO-Moor-B</v>
      </c>
      <c r="B166" s="4" t="s">
        <v>3650</v>
      </c>
      <c r="C166" s="15" t="s">
        <v>25</v>
      </c>
      <c r="D166" s="15" t="s">
        <v>3369</v>
      </c>
      <c r="E166" s="15" t="s">
        <v>3335</v>
      </c>
      <c r="F166" s="15">
        <v>10</v>
      </c>
      <c r="G166" s="1805"/>
      <c r="H166" s="22"/>
      <c r="I166" s="22"/>
      <c r="J166" s="22"/>
      <c r="K166" s="1805"/>
      <c r="L166" s="1805"/>
      <c r="M166" s="1805"/>
      <c r="N166" s="1805"/>
      <c r="O166" s="1805"/>
      <c r="P166" s="1805"/>
      <c r="Q166" s="1805"/>
      <c r="R166" s="1805"/>
      <c r="S166" s="1805"/>
      <c r="T166" s="1805"/>
      <c r="U166" s="1805"/>
      <c r="V166" s="1805"/>
      <c r="W166" s="1805"/>
      <c r="X166" s="1805"/>
      <c r="Y166" s="1805"/>
      <c r="Z166" s="1805"/>
      <c r="AA166" s="1805"/>
      <c r="AB166" s="1805"/>
      <c r="AC166" s="1805"/>
      <c r="AD166" s="1805"/>
      <c r="AE166" s="22"/>
      <c r="AF166" s="22"/>
      <c r="AG166" s="22"/>
      <c r="AH166" s="22"/>
      <c r="AI166" s="22"/>
      <c r="AJ166" s="22"/>
    </row>
    <row r="167" spans="1:36" x14ac:dyDescent="0.2">
      <c r="A167" s="15" t="str">
        <f t="shared" si="1"/>
        <v>Obst-MgO-Moor-C</v>
      </c>
      <c r="B167" s="4" t="s">
        <v>3650</v>
      </c>
      <c r="C167" s="15" t="s">
        <v>25</v>
      </c>
      <c r="D167" s="15" t="s">
        <v>3369</v>
      </c>
      <c r="E167" s="15" t="s">
        <v>3336</v>
      </c>
      <c r="F167" s="15">
        <v>15</v>
      </c>
      <c r="G167" s="1805"/>
      <c r="H167" s="22"/>
      <c r="I167" s="22"/>
      <c r="J167" s="22"/>
      <c r="K167" s="1805"/>
      <c r="L167" s="1805"/>
      <c r="M167" s="1805"/>
      <c r="N167" s="1805"/>
      <c r="O167" s="1805"/>
      <c r="P167" s="1805"/>
      <c r="Q167" s="1805"/>
      <c r="R167" s="1805"/>
      <c r="S167" s="1805"/>
      <c r="T167" s="1805"/>
      <c r="U167" s="1805"/>
      <c r="V167" s="1805"/>
      <c r="W167" s="1805"/>
      <c r="X167" s="1805"/>
      <c r="Y167" s="1805"/>
      <c r="Z167" s="1805"/>
      <c r="AA167" s="1805"/>
      <c r="AB167" s="1805"/>
      <c r="AC167" s="1805"/>
      <c r="AD167" s="1805"/>
      <c r="AE167" s="22"/>
      <c r="AF167" s="22"/>
      <c r="AG167" s="22"/>
      <c r="AH167" s="22"/>
      <c r="AI167" s="22"/>
      <c r="AJ167" s="22"/>
    </row>
    <row r="168" spans="1:36" x14ac:dyDescent="0.2">
      <c r="A168" s="15" t="str">
        <f t="shared" si="1"/>
        <v>Obst-MgO-Moor-D</v>
      </c>
      <c r="B168" s="4" t="s">
        <v>3650</v>
      </c>
      <c r="C168" s="15" t="s">
        <v>25</v>
      </c>
      <c r="D168" s="15" t="s">
        <v>3369</v>
      </c>
      <c r="E168" s="15" t="s">
        <v>3337</v>
      </c>
      <c r="F168" s="15">
        <v>25</v>
      </c>
      <c r="G168" s="1805"/>
      <c r="H168" s="22"/>
      <c r="I168" s="22"/>
      <c r="J168" s="22"/>
      <c r="K168" s="1805"/>
      <c r="L168" s="1805"/>
      <c r="M168" s="1805"/>
      <c r="N168" s="1805"/>
      <c r="O168" s="1805"/>
      <c r="P168" s="1805"/>
      <c r="Q168" s="1805"/>
      <c r="R168" s="1805"/>
      <c r="S168" s="1805"/>
      <c r="T168" s="1805"/>
      <c r="U168" s="1805"/>
      <c r="V168" s="1805"/>
      <c r="W168" s="1805"/>
      <c r="X168" s="1805"/>
      <c r="Y168" s="1805"/>
      <c r="Z168" s="1805"/>
      <c r="AA168" s="1805"/>
      <c r="AB168" s="1805"/>
      <c r="AC168" s="1805"/>
      <c r="AD168" s="1805"/>
      <c r="AE168" s="22"/>
      <c r="AF168" s="22"/>
      <c r="AG168" s="22"/>
      <c r="AH168" s="22"/>
      <c r="AI168" s="22"/>
      <c r="AJ168" s="22"/>
    </row>
    <row r="169" spans="1:36" x14ac:dyDescent="0.2">
      <c r="A169" s="15" t="str">
        <f t="shared" si="1"/>
        <v>Obst-MgO-schwer-A</v>
      </c>
      <c r="B169" s="15" t="s">
        <v>3650</v>
      </c>
      <c r="C169" s="15" t="s">
        <v>25</v>
      </c>
      <c r="D169" s="15" t="s">
        <v>3640</v>
      </c>
      <c r="E169" s="15" t="s">
        <v>3330</v>
      </c>
      <c r="F169" s="15">
        <v>11</v>
      </c>
      <c r="G169" s="1805"/>
      <c r="H169" s="22"/>
      <c r="I169" s="22"/>
      <c r="J169" s="22"/>
      <c r="K169" s="1805"/>
      <c r="L169" s="1805"/>
      <c r="M169" s="1805"/>
      <c r="N169" s="1805"/>
      <c r="O169" s="1805"/>
      <c r="P169" s="1805"/>
      <c r="Q169" s="1805"/>
      <c r="R169" s="1805"/>
      <c r="S169" s="1805"/>
      <c r="T169" s="1805"/>
      <c r="U169" s="1805"/>
      <c r="V169" s="1805"/>
      <c r="W169" s="1805"/>
      <c r="X169" s="1805"/>
      <c r="Y169" s="1805"/>
      <c r="Z169" s="1805"/>
      <c r="AA169" s="1805"/>
      <c r="AB169" s="1805"/>
      <c r="AC169" s="1805"/>
      <c r="AD169" s="1805"/>
      <c r="AE169" s="22"/>
      <c r="AF169" s="22"/>
      <c r="AG169" s="22"/>
      <c r="AH169" s="22"/>
      <c r="AI169" s="22"/>
      <c r="AJ169" s="22"/>
    </row>
    <row r="170" spans="1:36" x14ac:dyDescent="0.2">
      <c r="A170" s="15" t="str">
        <f t="shared" si="1"/>
        <v>Obst-MgO-schwer-B</v>
      </c>
      <c r="B170" s="15" t="s">
        <v>3650</v>
      </c>
      <c r="C170" s="15" t="s">
        <v>25</v>
      </c>
      <c r="D170" s="15" t="s">
        <v>3640</v>
      </c>
      <c r="E170" s="15" t="s">
        <v>3335</v>
      </c>
      <c r="F170" s="15">
        <v>0</v>
      </c>
      <c r="G170" s="1805"/>
      <c r="H170" s="22"/>
      <c r="I170" s="22"/>
      <c r="J170" s="22"/>
      <c r="K170" s="1805"/>
      <c r="L170" s="1805"/>
      <c r="M170" s="1805"/>
      <c r="N170" s="1805"/>
      <c r="O170" s="1805"/>
      <c r="P170" s="1805"/>
      <c r="Q170" s="1805"/>
      <c r="R170" s="1805"/>
      <c r="S170" s="1805"/>
      <c r="T170" s="1805"/>
      <c r="U170" s="1805"/>
      <c r="V170" s="1805"/>
      <c r="W170" s="1805"/>
      <c r="X170" s="1805"/>
      <c r="Y170" s="1805"/>
      <c r="Z170" s="1805"/>
      <c r="AA170" s="1805"/>
      <c r="AB170" s="1805"/>
      <c r="AC170" s="1805"/>
      <c r="AD170" s="1805"/>
      <c r="AE170" s="22"/>
      <c r="AF170" s="22"/>
      <c r="AG170" s="22"/>
      <c r="AH170" s="22"/>
      <c r="AI170" s="22"/>
      <c r="AJ170" s="22"/>
    </row>
    <row r="171" spans="1:36" x14ac:dyDescent="0.2">
      <c r="A171" s="15" t="str">
        <f t="shared" si="1"/>
        <v>Obst-MgO-schwer-C</v>
      </c>
      <c r="B171" s="15" t="s">
        <v>3650</v>
      </c>
      <c r="C171" s="15" t="s">
        <v>25</v>
      </c>
      <c r="D171" s="15" t="s">
        <v>3640</v>
      </c>
      <c r="E171" s="15" t="s">
        <v>3336</v>
      </c>
      <c r="F171" s="15">
        <v>20</v>
      </c>
      <c r="G171" s="1805"/>
      <c r="H171" s="22"/>
      <c r="I171" s="22"/>
      <c r="J171" s="22"/>
      <c r="K171" s="1805"/>
      <c r="L171" s="1805"/>
      <c r="M171" s="1805"/>
      <c r="N171" s="1805"/>
      <c r="O171" s="1805"/>
      <c r="P171" s="1805"/>
      <c r="Q171" s="1805"/>
      <c r="R171" s="1805"/>
      <c r="S171" s="1805"/>
      <c r="T171" s="1805"/>
      <c r="U171" s="1805"/>
      <c r="V171" s="1805"/>
      <c r="W171" s="1805"/>
      <c r="X171" s="1805"/>
      <c r="Y171" s="1805"/>
      <c r="Z171" s="1805"/>
      <c r="AA171" s="1805"/>
      <c r="AB171" s="1805"/>
      <c r="AC171" s="1805"/>
      <c r="AD171" s="1805"/>
      <c r="AE171" s="22"/>
      <c r="AF171" s="22"/>
      <c r="AG171" s="22"/>
      <c r="AH171" s="22"/>
      <c r="AI171" s="22"/>
      <c r="AJ171" s="22"/>
    </row>
    <row r="172" spans="1:36" x14ac:dyDescent="0.2">
      <c r="A172" s="15" t="str">
        <f t="shared" si="1"/>
        <v>Obst-MgO-schwer-D</v>
      </c>
      <c r="B172" s="15" t="s">
        <v>3650</v>
      </c>
      <c r="C172" s="15" t="s">
        <v>25</v>
      </c>
      <c r="D172" s="15" t="s">
        <v>3640</v>
      </c>
      <c r="E172" s="15" t="s">
        <v>3337</v>
      </c>
      <c r="F172" s="15">
        <v>0</v>
      </c>
      <c r="G172" s="1805"/>
      <c r="H172" s="22"/>
      <c r="I172" s="22"/>
      <c r="J172" s="22"/>
      <c r="K172" s="1805"/>
      <c r="L172" s="1805"/>
      <c r="M172" s="1805"/>
      <c r="N172" s="1805"/>
      <c r="O172" s="1805"/>
      <c r="P172" s="1805"/>
      <c r="Q172" s="1805"/>
      <c r="R172" s="1805"/>
      <c r="S172" s="1805"/>
      <c r="T172" s="1805"/>
      <c r="U172" s="1805"/>
      <c r="V172" s="1805"/>
      <c r="W172" s="1805"/>
      <c r="X172" s="1805"/>
      <c r="Y172" s="1805"/>
      <c r="Z172" s="1805"/>
      <c r="AA172" s="1805"/>
      <c r="AB172" s="1805"/>
      <c r="AC172" s="1805"/>
      <c r="AD172" s="1805"/>
      <c r="AE172" s="22"/>
      <c r="AF172" s="22"/>
      <c r="AG172" s="22"/>
      <c r="AH172" s="22"/>
      <c r="AI172" s="22"/>
      <c r="AJ172" s="22"/>
    </row>
    <row r="173" spans="1:36" x14ac:dyDescent="0.2">
      <c r="A173" s="15" t="str">
        <f t="shared" ref="A173:A236" si="2">B173&amp;"-"&amp;C173&amp;"-"&amp;D173&amp;"-"&amp;E173</f>
        <v>Reben-MgO-leicht-A</v>
      </c>
      <c r="B173" s="15" t="s">
        <v>3651</v>
      </c>
      <c r="C173" s="15" t="s">
        <v>25</v>
      </c>
      <c r="D173" s="15" t="s">
        <v>3635</v>
      </c>
      <c r="E173" s="15" t="s">
        <v>3330</v>
      </c>
      <c r="F173" s="15">
        <v>12</v>
      </c>
      <c r="G173" s="1805"/>
      <c r="H173" s="22"/>
      <c r="I173" s="22"/>
      <c r="J173" s="22"/>
      <c r="K173" s="1805"/>
      <c r="L173" s="1805"/>
      <c r="M173" s="1805"/>
      <c r="N173" s="1805"/>
      <c r="O173" s="1805"/>
      <c r="P173" s="1805"/>
      <c r="Q173" s="1805"/>
      <c r="R173" s="1805"/>
      <c r="S173" s="1805"/>
      <c r="T173" s="1805"/>
      <c r="U173" s="1805"/>
      <c r="V173" s="1805"/>
      <c r="W173" s="1805"/>
      <c r="X173" s="1805"/>
      <c r="Y173" s="1805"/>
      <c r="Z173" s="1805"/>
      <c r="AA173" s="1805"/>
      <c r="AB173" s="1805"/>
      <c r="AC173" s="1805"/>
      <c r="AD173" s="1805"/>
      <c r="AE173" s="22"/>
      <c r="AF173" s="22"/>
      <c r="AG173" s="22"/>
      <c r="AH173" s="22"/>
      <c r="AI173" s="22"/>
      <c r="AJ173" s="22"/>
    </row>
    <row r="174" spans="1:36" x14ac:dyDescent="0.2">
      <c r="A174" s="15" t="str">
        <f t="shared" si="2"/>
        <v>Reben-MgO-leicht-B</v>
      </c>
      <c r="B174" s="15" t="s">
        <v>3651</v>
      </c>
      <c r="C174" s="15" t="s">
        <v>25</v>
      </c>
      <c r="D174" s="15" t="s">
        <v>3635</v>
      </c>
      <c r="E174" s="15" t="s">
        <v>3335</v>
      </c>
      <c r="F174" s="15">
        <v>0</v>
      </c>
      <c r="G174" s="1805"/>
      <c r="H174" s="22"/>
      <c r="I174" s="22"/>
      <c r="J174" s="22"/>
      <c r="K174" s="1805"/>
      <c r="L174" s="1805"/>
      <c r="M174" s="1805"/>
      <c r="N174" s="1805"/>
      <c r="O174" s="1805"/>
      <c r="P174" s="1805"/>
      <c r="Q174" s="1805"/>
      <c r="R174" s="1805"/>
      <c r="S174" s="1805"/>
      <c r="T174" s="1805"/>
      <c r="U174" s="1805"/>
      <c r="V174" s="1805"/>
      <c r="W174" s="1805"/>
      <c r="X174" s="1805"/>
      <c r="Y174" s="1805"/>
      <c r="Z174" s="1805"/>
      <c r="AA174" s="1805"/>
      <c r="AB174" s="1805"/>
      <c r="AC174" s="1805"/>
      <c r="AD174" s="1805"/>
      <c r="AE174" s="22"/>
      <c r="AF174" s="22"/>
      <c r="AG174" s="22"/>
      <c r="AH174" s="22"/>
      <c r="AI174" s="22"/>
      <c r="AJ174" s="22"/>
    </row>
    <row r="175" spans="1:36" x14ac:dyDescent="0.2">
      <c r="A175" s="15" t="str">
        <f t="shared" si="2"/>
        <v>Reben-MgO-leicht-C</v>
      </c>
      <c r="B175" s="15" t="s">
        <v>3651</v>
      </c>
      <c r="C175" s="15" t="s">
        <v>25</v>
      </c>
      <c r="D175" s="15" t="s">
        <v>3635</v>
      </c>
      <c r="E175" s="15" t="s">
        <v>3336</v>
      </c>
      <c r="F175" s="15">
        <v>25</v>
      </c>
      <c r="G175" s="1805"/>
      <c r="H175" s="22"/>
      <c r="I175" s="22"/>
      <c r="J175" s="22"/>
      <c r="K175" s="1805"/>
      <c r="L175" s="1805"/>
      <c r="M175" s="1805"/>
      <c r="N175" s="1805"/>
      <c r="O175" s="1805"/>
      <c r="P175" s="1805"/>
      <c r="Q175" s="1805"/>
      <c r="R175" s="1805"/>
      <c r="S175" s="1805"/>
      <c r="T175" s="1805"/>
      <c r="U175" s="1805"/>
      <c r="V175" s="1805"/>
      <c r="W175" s="1805"/>
      <c r="X175" s="1805"/>
      <c r="Y175" s="1805"/>
      <c r="Z175" s="1805"/>
      <c r="AA175" s="1805"/>
      <c r="AB175" s="1805"/>
      <c r="AC175" s="1805"/>
      <c r="AD175" s="1805"/>
      <c r="AE175" s="22"/>
      <c r="AF175" s="22"/>
      <c r="AG175" s="22"/>
      <c r="AH175" s="22"/>
      <c r="AI175" s="22"/>
      <c r="AJ175" s="22"/>
    </row>
    <row r="176" spans="1:36" x14ac:dyDescent="0.2">
      <c r="A176" s="15" t="str">
        <f t="shared" si="2"/>
        <v>Reben-MgO-leicht-D</v>
      </c>
      <c r="B176" s="15" t="s">
        <v>3651</v>
      </c>
      <c r="C176" s="15" t="s">
        <v>25</v>
      </c>
      <c r="D176" s="15" t="s">
        <v>3635</v>
      </c>
      <c r="E176" s="15" t="s">
        <v>3337</v>
      </c>
      <c r="F176" s="15">
        <v>0</v>
      </c>
      <c r="G176" s="1805"/>
      <c r="H176" s="22"/>
      <c r="I176" s="22"/>
      <c r="J176" s="22"/>
      <c r="K176" s="1805"/>
      <c r="L176" s="1805"/>
      <c r="M176" s="1805"/>
      <c r="N176" s="1805"/>
      <c r="O176" s="1805"/>
      <c r="P176" s="1805"/>
      <c r="Q176" s="1805"/>
      <c r="R176" s="1805"/>
      <c r="S176" s="1805"/>
      <c r="T176" s="1805"/>
      <c r="U176" s="1805"/>
      <c r="V176" s="1805"/>
      <c r="W176" s="1805"/>
      <c r="X176" s="1805"/>
      <c r="Y176" s="1805"/>
      <c r="Z176" s="1805"/>
      <c r="AA176" s="1805"/>
      <c r="AB176" s="1805"/>
      <c r="AC176" s="1805"/>
      <c r="AD176" s="1805"/>
      <c r="AE176" s="22"/>
      <c r="AF176" s="22"/>
      <c r="AG176" s="22"/>
      <c r="AH176" s="22"/>
      <c r="AI176" s="22"/>
      <c r="AJ176" s="22"/>
    </row>
    <row r="177" spans="1:36" x14ac:dyDescent="0.2">
      <c r="A177" s="15" t="str">
        <f t="shared" si="2"/>
        <v>Reben-MgO-mittel-A</v>
      </c>
      <c r="B177" s="15" t="s">
        <v>3651</v>
      </c>
      <c r="C177" s="15" t="s">
        <v>25</v>
      </c>
      <c r="D177" s="15" t="s">
        <v>3453</v>
      </c>
      <c r="E177" s="15" t="s">
        <v>3330</v>
      </c>
      <c r="F177" s="15">
        <v>12</v>
      </c>
      <c r="G177" s="1805"/>
      <c r="H177" s="22"/>
      <c r="I177" s="22"/>
      <c r="J177" s="22"/>
      <c r="K177" s="1805"/>
      <c r="L177" s="1805"/>
      <c r="M177" s="1805"/>
      <c r="N177" s="1805"/>
      <c r="O177" s="1805"/>
      <c r="P177" s="1805"/>
      <c r="Q177" s="1805"/>
      <c r="R177" s="1805"/>
      <c r="S177" s="1805"/>
      <c r="T177" s="1805"/>
      <c r="U177" s="1805"/>
      <c r="V177" s="1805"/>
      <c r="W177" s="1805"/>
      <c r="X177" s="1805"/>
      <c r="Y177" s="1805"/>
      <c r="Z177" s="1805"/>
      <c r="AA177" s="1805"/>
      <c r="AB177" s="1805"/>
      <c r="AC177" s="1805"/>
      <c r="AD177" s="1805"/>
      <c r="AE177" s="22"/>
      <c r="AF177" s="22"/>
      <c r="AG177" s="22"/>
      <c r="AH177" s="22"/>
      <c r="AI177" s="22"/>
      <c r="AJ177" s="22"/>
    </row>
    <row r="178" spans="1:36" x14ac:dyDescent="0.2">
      <c r="A178" s="15" t="str">
        <f t="shared" si="2"/>
        <v>Reben-MgO-mittel-B</v>
      </c>
      <c r="B178" s="15" t="s">
        <v>3651</v>
      </c>
      <c r="C178" s="15" t="s">
        <v>25</v>
      </c>
      <c r="D178" s="15" t="s">
        <v>3453</v>
      </c>
      <c r="E178" s="15" t="s">
        <v>3335</v>
      </c>
      <c r="F178" s="15">
        <v>0</v>
      </c>
      <c r="G178" s="1805"/>
      <c r="H178" s="22"/>
      <c r="I178" s="22"/>
      <c r="J178" s="22"/>
      <c r="K178" s="1805"/>
      <c r="L178" s="1805"/>
      <c r="M178" s="1805"/>
      <c r="N178" s="1805"/>
      <c r="O178" s="1805"/>
      <c r="P178" s="1805"/>
      <c r="Q178" s="1805"/>
      <c r="R178" s="1805"/>
      <c r="S178" s="1805"/>
      <c r="T178" s="1805"/>
      <c r="U178" s="1805"/>
      <c r="V178" s="1805"/>
      <c r="W178" s="1805"/>
      <c r="X178" s="1805"/>
      <c r="Y178" s="1805"/>
      <c r="Z178" s="1805"/>
      <c r="AA178" s="1805"/>
      <c r="AB178" s="1805"/>
      <c r="AC178" s="1805"/>
      <c r="AD178" s="1805"/>
      <c r="AE178" s="22"/>
      <c r="AF178" s="22"/>
      <c r="AG178" s="22"/>
      <c r="AH178" s="22"/>
      <c r="AI178" s="22"/>
      <c r="AJ178" s="22"/>
    </row>
    <row r="179" spans="1:36" x14ac:dyDescent="0.2">
      <c r="A179" s="15" t="str">
        <f t="shared" si="2"/>
        <v>Reben-MgO-mittel-C</v>
      </c>
      <c r="B179" s="15" t="s">
        <v>3651</v>
      </c>
      <c r="C179" s="15" t="s">
        <v>25</v>
      </c>
      <c r="D179" s="15" t="s">
        <v>3453</v>
      </c>
      <c r="E179" s="15" t="s">
        <v>3336</v>
      </c>
      <c r="F179" s="15">
        <v>25</v>
      </c>
      <c r="G179" s="1805"/>
      <c r="H179" s="22"/>
      <c r="I179" s="22"/>
      <c r="J179" s="22"/>
      <c r="K179" s="1805"/>
      <c r="L179" s="1805"/>
      <c r="M179" s="1805"/>
      <c r="N179" s="1805"/>
      <c r="O179" s="1805"/>
      <c r="P179" s="1805"/>
      <c r="Q179" s="1805"/>
      <c r="R179" s="1805"/>
      <c r="S179" s="1805"/>
      <c r="T179" s="1805"/>
      <c r="U179" s="1805"/>
      <c r="V179" s="1805"/>
      <c r="W179" s="1805"/>
      <c r="X179" s="1805"/>
      <c r="Y179" s="1805"/>
      <c r="Z179" s="1805"/>
      <c r="AA179" s="1805"/>
      <c r="AB179" s="1805"/>
      <c r="AC179" s="1805"/>
      <c r="AD179" s="1805"/>
      <c r="AE179" s="22"/>
      <c r="AF179" s="22"/>
      <c r="AG179" s="22"/>
      <c r="AH179" s="22"/>
      <c r="AI179" s="22"/>
      <c r="AJ179" s="22"/>
    </row>
    <row r="180" spans="1:36" x14ac:dyDescent="0.2">
      <c r="A180" s="15" t="str">
        <f t="shared" si="2"/>
        <v>Reben-MgO-mittel-D</v>
      </c>
      <c r="B180" s="15" t="s">
        <v>3651</v>
      </c>
      <c r="C180" s="15" t="s">
        <v>25</v>
      </c>
      <c r="D180" s="15" t="s">
        <v>3453</v>
      </c>
      <c r="E180" s="15" t="s">
        <v>3337</v>
      </c>
      <c r="F180" s="15">
        <v>0</v>
      </c>
      <c r="G180" s="1805"/>
      <c r="H180" s="22"/>
      <c r="I180" s="22"/>
      <c r="J180" s="22"/>
      <c r="K180" s="1805"/>
      <c r="L180" s="1805"/>
      <c r="M180" s="1805"/>
      <c r="N180" s="1805"/>
      <c r="O180" s="1805"/>
      <c r="P180" s="1805"/>
      <c r="Q180" s="1805"/>
      <c r="R180" s="1805"/>
      <c r="S180" s="1805"/>
      <c r="T180" s="1805"/>
      <c r="U180" s="1805"/>
      <c r="V180" s="1805"/>
      <c r="W180" s="1805"/>
      <c r="X180" s="1805"/>
      <c r="Y180" s="1805"/>
      <c r="Z180" s="1805"/>
      <c r="AA180" s="1805"/>
      <c r="AB180" s="1805"/>
      <c r="AC180" s="1805"/>
      <c r="AD180" s="1805"/>
      <c r="AE180" s="22"/>
      <c r="AF180" s="22"/>
      <c r="AG180" s="22"/>
      <c r="AH180" s="22"/>
      <c r="AI180" s="22"/>
      <c r="AJ180" s="22"/>
    </row>
    <row r="181" spans="1:36" x14ac:dyDescent="0.2">
      <c r="A181" s="15" t="str">
        <f t="shared" si="2"/>
        <v>Reben-MgO-Moor-A</v>
      </c>
      <c r="B181" s="4" t="s">
        <v>3651</v>
      </c>
      <c r="C181" s="15" t="s">
        <v>25</v>
      </c>
      <c r="D181" s="15" t="s">
        <v>3369</v>
      </c>
      <c r="E181" s="15" t="s">
        <v>3330</v>
      </c>
      <c r="F181" s="15">
        <v>5</v>
      </c>
      <c r="G181" s="1805"/>
      <c r="H181" s="22"/>
      <c r="I181" s="22"/>
      <c r="J181" s="22"/>
      <c r="K181" s="1805"/>
      <c r="L181" s="1805"/>
      <c r="M181" s="1805"/>
      <c r="N181" s="1805"/>
      <c r="O181" s="1805"/>
      <c r="P181" s="1805"/>
      <c r="Q181" s="1805"/>
      <c r="R181" s="1805"/>
      <c r="S181" s="1805"/>
      <c r="T181" s="1805"/>
      <c r="U181" s="1805"/>
      <c r="V181" s="1805"/>
      <c r="W181" s="1805"/>
      <c r="X181" s="1805"/>
      <c r="Y181" s="1805"/>
      <c r="Z181" s="1805"/>
      <c r="AA181" s="1805"/>
      <c r="AB181" s="1805"/>
      <c r="AC181" s="1805"/>
      <c r="AD181" s="1805"/>
      <c r="AE181" s="22"/>
      <c r="AF181" s="22"/>
      <c r="AG181" s="22"/>
      <c r="AH181" s="22"/>
      <c r="AI181" s="22"/>
      <c r="AJ181" s="22"/>
    </row>
    <row r="182" spans="1:36" x14ac:dyDescent="0.2">
      <c r="A182" s="15" t="str">
        <f t="shared" si="2"/>
        <v>Reben-MgO-Moor-B</v>
      </c>
      <c r="B182" s="4" t="s">
        <v>3651</v>
      </c>
      <c r="C182" s="15" t="s">
        <v>25</v>
      </c>
      <c r="D182" s="15" t="s">
        <v>3369</v>
      </c>
      <c r="E182" s="15" t="s">
        <v>3335</v>
      </c>
      <c r="F182" s="15">
        <v>10</v>
      </c>
      <c r="G182" s="1805"/>
      <c r="H182" s="22"/>
      <c r="I182" s="22"/>
      <c r="J182" s="22"/>
      <c r="K182" s="1805"/>
      <c r="L182" s="1805"/>
      <c r="M182" s="1805"/>
      <c r="N182" s="1805"/>
      <c r="O182" s="1805"/>
      <c r="P182" s="1805"/>
      <c r="Q182" s="1805"/>
      <c r="R182" s="1805"/>
      <c r="S182" s="1805"/>
      <c r="T182" s="1805"/>
      <c r="U182" s="1805"/>
      <c r="V182" s="1805"/>
      <c r="W182" s="1805"/>
      <c r="X182" s="1805"/>
      <c r="Y182" s="1805"/>
      <c r="Z182" s="1805"/>
      <c r="AA182" s="1805"/>
      <c r="AB182" s="1805"/>
      <c r="AC182" s="1805"/>
      <c r="AD182" s="1805"/>
      <c r="AE182" s="22"/>
      <c r="AF182" s="22"/>
      <c r="AG182" s="22"/>
      <c r="AH182" s="22"/>
      <c r="AI182" s="22"/>
      <c r="AJ182" s="22"/>
    </row>
    <row r="183" spans="1:36" x14ac:dyDescent="0.2">
      <c r="A183" s="15" t="str">
        <f t="shared" si="2"/>
        <v>Reben-MgO-Moor-C</v>
      </c>
      <c r="B183" s="4" t="s">
        <v>3651</v>
      </c>
      <c r="C183" s="15" t="s">
        <v>25</v>
      </c>
      <c r="D183" s="15" t="s">
        <v>3369</v>
      </c>
      <c r="E183" s="15" t="s">
        <v>3336</v>
      </c>
      <c r="F183" s="15">
        <v>15</v>
      </c>
      <c r="G183" s="1805"/>
      <c r="H183" s="22"/>
      <c r="I183" s="22"/>
      <c r="J183" s="22"/>
      <c r="K183" s="1805"/>
      <c r="L183" s="1805"/>
      <c r="M183" s="1805"/>
      <c r="N183" s="1805"/>
      <c r="O183" s="1805"/>
      <c r="P183" s="1805"/>
      <c r="Q183" s="1805"/>
      <c r="R183" s="1805"/>
      <c r="S183" s="1805"/>
      <c r="T183" s="1805"/>
      <c r="U183" s="1805"/>
      <c r="V183" s="1805"/>
      <c r="W183" s="1805"/>
      <c r="X183" s="1805"/>
      <c r="Y183" s="1805"/>
      <c r="Z183" s="1805"/>
      <c r="AA183" s="1805"/>
      <c r="AB183" s="1805"/>
      <c r="AC183" s="1805"/>
      <c r="AD183" s="1805"/>
      <c r="AE183" s="22"/>
      <c r="AF183" s="22"/>
      <c r="AG183" s="22"/>
      <c r="AH183" s="22"/>
      <c r="AI183" s="22"/>
      <c r="AJ183" s="22"/>
    </row>
    <row r="184" spans="1:36" x14ac:dyDescent="0.2">
      <c r="A184" s="15" t="str">
        <f t="shared" si="2"/>
        <v>Reben-MgO-Moor-D</v>
      </c>
      <c r="B184" s="4" t="s">
        <v>3651</v>
      </c>
      <c r="C184" s="15" t="s">
        <v>25</v>
      </c>
      <c r="D184" s="15" t="s">
        <v>3369</v>
      </c>
      <c r="E184" s="15" t="s">
        <v>3337</v>
      </c>
      <c r="F184" s="15">
        <v>25</v>
      </c>
      <c r="G184" s="1805"/>
      <c r="H184" s="22"/>
      <c r="I184" s="22"/>
      <c r="J184" s="22"/>
      <c r="K184" s="1805"/>
      <c r="L184" s="1805"/>
      <c r="M184" s="1805"/>
      <c r="N184" s="1805"/>
      <c r="O184" s="1805"/>
      <c r="P184" s="1805"/>
      <c r="Q184" s="1805"/>
      <c r="R184" s="1805"/>
      <c r="S184" s="1805"/>
      <c r="T184" s="1805"/>
      <c r="U184" s="1805"/>
      <c r="V184" s="1805"/>
      <c r="W184" s="1805"/>
      <c r="X184" s="1805"/>
      <c r="Y184" s="1805"/>
      <c r="Z184" s="1805"/>
      <c r="AA184" s="1805"/>
      <c r="AB184" s="1805"/>
      <c r="AC184" s="1805"/>
      <c r="AD184" s="1805"/>
      <c r="AE184" s="22"/>
      <c r="AF184" s="22"/>
      <c r="AG184" s="22"/>
      <c r="AH184" s="22"/>
      <c r="AI184" s="22"/>
      <c r="AJ184" s="22"/>
    </row>
    <row r="185" spans="1:36" x14ac:dyDescent="0.2">
      <c r="A185" s="15" t="str">
        <f t="shared" si="2"/>
        <v>Reben-MgO-schwer-A</v>
      </c>
      <c r="B185" s="15" t="s">
        <v>3651</v>
      </c>
      <c r="C185" s="15" t="s">
        <v>25</v>
      </c>
      <c r="D185" s="15" t="s">
        <v>3640</v>
      </c>
      <c r="E185" s="15" t="s">
        <v>3330</v>
      </c>
      <c r="F185" s="15">
        <v>12</v>
      </c>
      <c r="G185" s="1805"/>
      <c r="H185" s="22"/>
      <c r="I185" s="22"/>
      <c r="J185" s="22"/>
      <c r="K185" s="1805"/>
      <c r="L185" s="1805"/>
      <c r="M185" s="1805"/>
      <c r="N185" s="1805"/>
      <c r="O185" s="1805"/>
      <c r="P185" s="1805"/>
      <c r="Q185" s="1805"/>
      <c r="R185" s="1805"/>
      <c r="S185" s="1805"/>
      <c r="T185" s="1805"/>
      <c r="U185" s="1805"/>
      <c r="V185" s="1805"/>
      <c r="W185" s="1805"/>
      <c r="X185" s="1805"/>
      <c r="Y185" s="1805"/>
      <c r="Z185" s="1805"/>
      <c r="AA185" s="1805"/>
      <c r="AB185" s="1805"/>
      <c r="AC185" s="1805"/>
      <c r="AD185" s="1805"/>
      <c r="AE185" s="22"/>
      <c r="AF185" s="22"/>
      <c r="AG185" s="22"/>
      <c r="AH185" s="22"/>
      <c r="AI185" s="22"/>
      <c r="AJ185" s="22"/>
    </row>
    <row r="186" spans="1:36" x14ac:dyDescent="0.2">
      <c r="A186" s="15" t="str">
        <f t="shared" si="2"/>
        <v>Reben-MgO-schwer-B</v>
      </c>
      <c r="B186" s="15" t="s">
        <v>3651</v>
      </c>
      <c r="C186" s="15" t="s">
        <v>25</v>
      </c>
      <c r="D186" s="15" t="s">
        <v>3640</v>
      </c>
      <c r="E186" s="15" t="s">
        <v>3335</v>
      </c>
      <c r="F186" s="15">
        <v>0</v>
      </c>
      <c r="G186" s="1805"/>
      <c r="H186" s="22"/>
      <c r="I186" s="22"/>
      <c r="J186" s="22"/>
      <c r="K186" s="1805"/>
      <c r="L186" s="1805"/>
      <c r="M186" s="1805"/>
      <c r="N186" s="1805"/>
      <c r="O186" s="1805"/>
      <c r="P186" s="1805"/>
      <c r="Q186" s="1805"/>
      <c r="R186" s="1805"/>
      <c r="S186" s="1805"/>
      <c r="T186" s="1805"/>
      <c r="U186" s="1805"/>
      <c r="V186" s="1805"/>
      <c r="W186" s="1805"/>
      <c r="X186" s="1805"/>
      <c r="Y186" s="1805"/>
      <c r="Z186" s="1805"/>
      <c r="AA186" s="1805"/>
      <c r="AB186" s="1805"/>
      <c r="AC186" s="1805"/>
      <c r="AD186" s="1805"/>
      <c r="AE186" s="22"/>
      <c r="AF186" s="22"/>
      <c r="AG186" s="22"/>
      <c r="AH186" s="22"/>
      <c r="AI186" s="22"/>
      <c r="AJ186" s="22"/>
    </row>
    <row r="187" spans="1:36" x14ac:dyDescent="0.2">
      <c r="A187" s="15" t="str">
        <f t="shared" si="2"/>
        <v>Reben-MgO-schwer-C</v>
      </c>
      <c r="B187" s="15" t="s">
        <v>3651</v>
      </c>
      <c r="C187" s="15" t="s">
        <v>25</v>
      </c>
      <c r="D187" s="15" t="s">
        <v>3640</v>
      </c>
      <c r="E187" s="15" t="s">
        <v>3336</v>
      </c>
      <c r="F187" s="15">
        <v>25</v>
      </c>
      <c r="G187" s="1805"/>
      <c r="H187" s="22"/>
      <c r="I187" s="22"/>
      <c r="J187" s="22"/>
      <c r="K187" s="1805"/>
      <c r="L187" s="1805"/>
      <c r="M187" s="1805"/>
      <c r="N187" s="1805"/>
      <c r="O187" s="1805"/>
      <c r="P187" s="1805"/>
      <c r="Q187" s="1805"/>
      <c r="R187" s="1805"/>
      <c r="S187" s="1805"/>
      <c r="T187" s="1805"/>
      <c r="U187" s="1805"/>
      <c r="V187" s="1805"/>
      <c r="W187" s="1805"/>
      <c r="X187" s="1805"/>
      <c r="Y187" s="1805"/>
      <c r="Z187" s="1805"/>
      <c r="AA187" s="1805"/>
      <c r="AB187" s="1805"/>
      <c r="AC187" s="1805"/>
      <c r="AD187" s="1805"/>
      <c r="AE187" s="22"/>
      <c r="AF187" s="22"/>
      <c r="AG187" s="22"/>
      <c r="AH187" s="22"/>
      <c r="AI187" s="22"/>
      <c r="AJ187" s="22"/>
    </row>
    <row r="188" spans="1:36" x14ac:dyDescent="0.2">
      <c r="A188" s="15" t="str">
        <f t="shared" si="2"/>
        <v>Reben-MgO-schwer-D</v>
      </c>
      <c r="B188" s="15" t="s">
        <v>3651</v>
      </c>
      <c r="C188" s="15" t="s">
        <v>25</v>
      </c>
      <c r="D188" s="15" t="s">
        <v>3640</v>
      </c>
      <c r="E188" s="15" t="s">
        <v>3337</v>
      </c>
      <c r="F188" s="15">
        <v>0</v>
      </c>
      <c r="G188" s="1805"/>
      <c r="H188" s="22"/>
      <c r="I188" s="22"/>
      <c r="J188" s="22"/>
      <c r="K188" s="1805"/>
      <c r="L188" s="1805"/>
      <c r="M188" s="1805"/>
      <c r="N188" s="1805"/>
      <c r="O188" s="1805"/>
      <c r="P188" s="1805"/>
      <c r="Q188" s="1805"/>
      <c r="R188" s="1805"/>
      <c r="S188" s="1805"/>
      <c r="T188" s="1805"/>
      <c r="U188" s="1805"/>
      <c r="V188" s="1805"/>
      <c r="W188" s="1805"/>
      <c r="X188" s="1805"/>
      <c r="Y188" s="1805"/>
      <c r="Z188" s="1805"/>
      <c r="AA188" s="1805"/>
      <c r="AB188" s="1805"/>
      <c r="AC188" s="1805"/>
      <c r="AD188" s="1805"/>
      <c r="AE188" s="22"/>
      <c r="AF188" s="22"/>
      <c r="AG188" s="22"/>
      <c r="AH188" s="22"/>
      <c r="AI188" s="22"/>
      <c r="AJ188" s="22"/>
    </row>
    <row r="189" spans="1:36" x14ac:dyDescent="0.2">
      <c r="A189" s="15" t="str">
        <f t="shared" si="2"/>
        <v>Grünland-MgO-leicht-A</v>
      </c>
      <c r="B189" s="15" t="s">
        <v>3311</v>
      </c>
      <c r="C189" s="15" t="s">
        <v>25</v>
      </c>
      <c r="D189" s="15" t="s">
        <v>3635</v>
      </c>
      <c r="E189" s="15" t="s">
        <v>3330</v>
      </c>
      <c r="F189" s="15">
        <v>5</v>
      </c>
      <c r="G189" s="1805"/>
      <c r="H189" s="22"/>
      <c r="I189" s="22"/>
      <c r="J189" s="22"/>
      <c r="K189" s="1805"/>
      <c r="L189" s="1805"/>
      <c r="M189" s="1805"/>
      <c r="N189" s="1805"/>
      <c r="O189" s="1805"/>
      <c r="P189" s="1805"/>
      <c r="Q189" s="1805"/>
      <c r="R189" s="1805"/>
      <c r="S189" s="1805"/>
      <c r="T189" s="1805"/>
      <c r="U189" s="1805"/>
      <c r="V189" s="1805"/>
      <c r="W189" s="1805"/>
      <c r="X189" s="1805"/>
      <c r="Y189" s="1805"/>
      <c r="Z189" s="1805"/>
      <c r="AA189" s="1805"/>
      <c r="AB189" s="1805"/>
      <c r="AC189" s="1805"/>
      <c r="AD189" s="1805"/>
      <c r="AE189" s="22"/>
      <c r="AF189" s="22"/>
      <c r="AG189" s="22"/>
      <c r="AH189" s="22"/>
      <c r="AI189" s="22"/>
      <c r="AJ189" s="22"/>
    </row>
    <row r="190" spans="1:36" x14ac:dyDescent="0.2">
      <c r="A190" s="15" t="str">
        <f t="shared" si="2"/>
        <v>Grünland-MgO-leicht-B</v>
      </c>
      <c r="B190" s="15" t="s">
        <v>3311</v>
      </c>
      <c r="C190" s="15" t="s">
        <v>25</v>
      </c>
      <c r="D190" s="15" t="s">
        <v>3635</v>
      </c>
      <c r="E190" s="15" t="s">
        <v>3335</v>
      </c>
      <c r="F190" s="15">
        <v>9</v>
      </c>
      <c r="G190" s="1805"/>
      <c r="H190" s="22"/>
      <c r="I190" s="22"/>
      <c r="J190" s="22"/>
      <c r="K190" s="1805"/>
      <c r="L190" s="1805"/>
      <c r="M190" s="1805"/>
      <c r="N190" s="1805"/>
      <c r="O190" s="1805"/>
      <c r="P190" s="1805"/>
      <c r="Q190" s="1805"/>
      <c r="R190" s="1805"/>
      <c r="S190" s="1805"/>
      <c r="T190" s="1805"/>
      <c r="U190" s="1805"/>
      <c r="V190" s="1805"/>
      <c r="W190" s="1805"/>
      <c r="X190" s="1805"/>
      <c r="Y190" s="1805"/>
      <c r="Z190" s="1805"/>
      <c r="AA190" s="1805"/>
      <c r="AB190" s="1805"/>
      <c r="AC190" s="1805"/>
      <c r="AD190" s="1805"/>
      <c r="AE190" s="22"/>
      <c r="AF190" s="22"/>
      <c r="AG190" s="22"/>
      <c r="AH190" s="22"/>
      <c r="AI190" s="22"/>
      <c r="AJ190" s="22"/>
    </row>
    <row r="191" spans="1:36" x14ac:dyDescent="0.2">
      <c r="A191" s="15" t="str">
        <f t="shared" si="2"/>
        <v>Grünland-MgO-leicht-C</v>
      </c>
      <c r="B191" s="15" t="s">
        <v>3311</v>
      </c>
      <c r="C191" s="15" t="s">
        <v>25</v>
      </c>
      <c r="D191" s="15" t="s">
        <v>3635</v>
      </c>
      <c r="E191" s="15" t="s">
        <v>3336</v>
      </c>
      <c r="F191" s="15">
        <v>15</v>
      </c>
      <c r="G191" s="1805"/>
      <c r="H191" s="22"/>
      <c r="I191" s="22"/>
      <c r="J191" s="22"/>
      <c r="K191" s="1805"/>
      <c r="L191" s="1805"/>
      <c r="M191" s="1805"/>
      <c r="N191" s="1805"/>
      <c r="O191" s="1805"/>
      <c r="P191" s="1805"/>
      <c r="Q191" s="1805"/>
      <c r="R191" s="1805"/>
      <c r="S191" s="1805"/>
      <c r="T191" s="1805"/>
      <c r="U191" s="1805"/>
      <c r="V191" s="1805"/>
      <c r="W191" s="1805"/>
      <c r="X191" s="1805"/>
      <c r="Y191" s="1805"/>
      <c r="Z191" s="1805"/>
      <c r="AA191" s="1805"/>
      <c r="AB191" s="1805"/>
      <c r="AC191" s="1805"/>
      <c r="AD191" s="1805"/>
      <c r="AE191" s="22"/>
      <c r="AF191" s="22"/>
      <c r="AG191" s="22"/>
      <c r="AH191" s="22"/>
      <c r="AI191" s="22"/>
      <c r="AJ191" s="22"/>
    </row>
    <row r="192" spans="1:36" x14ac:dyDescent="0.2">
      <c r="A192" s="15" t="str">
        <f t="shared" si="2"/>
        <v>Grünland-MgO-leicht-D</v>
      </c>
      <c r="B192" s="15" t="s">
        <v>3311</v>
      </c>
      <c r="C192" s="15" t="s">
        <v>25</v>
      </c>
      <c r="D192" s="15" t="s">
        <v>3635</v>
      </c>
      <c r="E192" s="15" t="s">
        <v>3337</v>
      </c>
      <c r="F192" s="15">
        <v>25</v>
      </c>
      <c r="G192" s="1805"/>
      <c r="H192" s="22"/>
      <c r="I192" s="22"/>
      <c r="J192" s="22"/>
      <c r="K192" s="1805"/>
      <c r="L192" s="1805"/>
      <c r="M192" s="1805"/>
      <c r="N192" s="1805"/>
      <c r="O192" s="1805"/>
      <c r="P192" s="1805"/>
      <c r="Q192" s="1805"/>
      <c r="R192" s="1805"/>
      <c r="S192" s="1805"/>
      <c r="T192" s="1805"/>
      <c r="U192" s="1805"/>
      <c r="V192" s="1805"/>
      <c r="W192" s="1805"/>
      <c r="X192" s="1805"/>
      <c r="Y192" s="1805"/>
      <c r="Z192" s="1805"/>
      <c r="AA192" s="1805"/>
      <c r="AB192" s="1805"/>
      <c r="AC192" s="1805"/>
      <c r="AD192" s="1805"/>
      <c r="AE192" s="22"/>
      <c r="AF192" s="22"/>
      <c r="AG192" s="22"/>
      <c r="AH192" s="22"/>
      <c r="AI192" s="22"/>
      <c r="AJ192" s="22"/>
    </row>
    <row r="193" spans="1:36" x14ac:dyDescent="0.2">
      <c r="A193" s="15" t="str">
        <f t="shared" si="2"/>
        <v>Grünland-MgO-mittel-A</v>
      </c>
      <c r="B193" s="15" t="s">
        <v>3311</v>
      </c>
      <c r="C193" s="15" t="s">
        <v>25</v>
      </c>
      <c r="D193" s="15" t="s">
        <v>3453</v>
      </c>
      <c r="E193" s="15" t="s">
        <v>3330</v>
      </c>
      <c r="F193" s="15">
        <v>5</v>
      </c>
      <c r="G193" s="1805"/>
      <c r="H193" s="22"/>
      <c r="I193" s="22"/>
      <c r="J193" s="22"/>
      <c r="K193" s="1805"/>
      <c r="L193" s="1805"/>
      <c r="M193" s="1805"/>
      <c r="N193" s="1805"/>
      <c r="O193" s="1805"/>
      <c r="P193" s="1805"/>
      <c r="Q193" s="1805"/>
      <c r="R193" s="1805"/>
      <c r="S193" s="1805"/>
      <c r="T193" s="1805"/>
      <c r="U193" s="1805"/>
      <c r="V193" s="1805"/>
      <c r="W193" s="1805"/>
      <c r="X193" s="1805"/>
      <c r="Y193" s="1805"/>
      <c r="Z193" s="1805"/>
      <c r="AA193" s="1805"/>
      <c r="AB193" s="1805"/>
      <c r="AC193" s="1805"/>
      <c r="AD193" s="1805"/>
      <c r="AE193" s="22"/>
      <c r="AF193" s="22"/>
      <c r="AG193" s="22"/>
      <c r="AH193" s="22"/>
      <c r="AI193" s="22"/>
      <c r="AJ193" s="22"/>
    </row>
    <row r="194" spans="1:36" x14ac:dyDescent="0.2">
      <c r="A194" s="15" t="str">
        <f t="shared" si="2"/>
        <v>Grünland-MgO-mittel-B</v>
      </c>
      <c r="B194" s="15" t="s">
        <v>3311</v>
      </c>
      <c r="C194" s="15" t="s">
        <v>25</v>
      </c>
      <c r="D194" s="15" t="s">
        <v>3453</v>
      </c>
      <c r="E194" s="15" t="s">
        <v>3335</v>
      </c>
      <c r="F194" s="15">
        <v>9</v>
      </c>
      <c r="G194" s="1805"/>
      <c r="H194" s="22"/>
      <c r="I194" s="22"/>
      <c r="J194" s="22"/>
      <c r="K194" s="1805"/>
      <c r="L194" s="1805"/>
      <c r="M194" s="1805"/>
      <c r="N194" s="1805"/>
      <c r="O194" s="1805"/>
      <c r="P194" s="1805"/>
      <c r="Q194" s="1805"/>
      <c r="R194" s="1805"/>
      <c r="S194" s="1805"/>
      <c r="T194" s="1805"/>
      <c r="U194" s="1805"/>
      <c r="V194" s="1805"/>
      <c r="W194" s="1805"/>
      <c r="X194" s="1805"/>
      <c r="Y194" s="1805"/>
      <c r="Z194" s="1805"/>
      <c r="AA194" s="1805"/>
      <c r="AB194" s="1805"/>
      <c r="AC194" s="1805"/>
      <c r="AD194" s="1805"/>
      <c r="AE194" s="22"/>
      <c r="AF194" s="22"/>
      <c r="AG194" s="22"/>
      <c r="AH194" s="22"/>
      <c r="AI194" s="22"/>
      <c r="AJ194" s="22"/>
    </row>
    <row r="195" spans="1:36" x14ac:dyDescent="0.2">
      <c r="A195" s="15" t="str">
        <f t="shared" si="2"/>
        <v>Grünland-MgO-mittel-C</v>
      </c>
      <c r="B195" s="15" t="s">
        <v>3311</v>
      </c>
      <c r="C195" s="15" t="s">
        <v>25</v>
      </c>
      <c r="D195" s="15" t="s">
        <v>3453</v>
      </c>
      <c r="E195" s="15" t="s">
        <v>3336</v>
      </c>
      <c r="F195" s="15">
        <v>15</v>
      </c>
      <c r="G195" s="1805"/>
      <c r="H195" s="22"/>
      <c r="I195" s="22"/>
      <c r="J195" s="22"/>
      <c r="K195" s="1805"/>
      <c r="L195" s="1805"/>
      <c r="M195" s="1805"/>
      <c r="N195" s="1805"/>
      <c r="O195" s="1805"/>
      <c r="P195" s="1805"/>
      <c r="Q195" s="1805"/>
      <c r="R195" s="1805"/>
      <c r="S195" s="1805"/>
      <c r="T195" s="1805"/>
      <c r="U195" s="1805"/>
      <c r="V195" s="1805"/>
      <c r="W195" s="1805"/>
      <c r="X195" s="1805"/>
      <c r="Y195" s="1805"/>
      <c r="Z195" s="1805"/>
      <c r="AA195" s="1805"/>
      <c r="AB195" s="1805"/>
      <c r="AC195" s="1805"/>
      <c r="AD195" s="1805"/>
      <c r="AE195" s="22"/>
      <c r="AF195" s="22"/>
      <c r="AG195" s="22"/>
      <c r="AH195" s="22"/>
      <c r="AI195" s="22"/>
      <c r="AJ195" s="22"/>
    </row>
    <row r="196" spans="1:36" x14ac:dyDescent="0.2">
      <c r="A196" s="15" t="str">
        <f t="shared" si="2"/>
        <v>Grünland-MgO-mittel-D</v>
      </c>
      <c r="B196" s="15" t="s">
        <v>3311</v>
      </c>
      <c r="C196" s="15" t="s">
        <v>25</v>
      </c>
      <c r="D196" s="15" t="s">
        <v>3453</v>
      </c>
      <c r="E196" s="15" t="s">
        <v>3337</v>
      </c>
      <c r="F196" s="15">
        <v>25</v>
      </c>
      <c r="G196" s="1805"/>
      <c r="H196" s="22"/>
      <c r="I196" s="22"/>
      <c r="J196" s="22"/>
      <c r="K196" s="1805"/>
      <c r="L196" s="1805"/>
      <c r="M196" s="1805"/>
      <c r="N196" s="1805"/>
      <c r="O196" s="1805"/>
      <c r="P196" s="1805"/>
      <c r="Q196" s="1805"/>
      <c r="R196" s="1805"/>
      <c r="S196" s="1805"/>
      <c r="T196" s="1805"/>
      <c r="U196" s="1805"/>
      <c r="V196" s="1805"/>
      <c r="W196" s="1805"/>
      <c r="X196" s="1805"/>
      <c r="Y196" s="1805"/>
      <c r="Z196" s="1805"/>
      <c r="AA196" s="1805"/>
      <c r="AB196" s="1805"/>
      <c r="AC196" s="1805"/>
      <c r="AD196" s="1805"/>
      <c r="AE196" s="22"/>
      <c r="AF196" s="22"/>
      <c r="AG196" s="22"/>
      <c r="AH196" s="22"/>
      <c r="AI196" s="22"/>
      <c r="AJ196" s="22"/>
    </row>
    <row r="197" spans="1:36" x14ac:dyDescent="0.2">
      <c r="A197" s="15" t="str">
        <f t="shared" si="2"/>
        <v>Grünland-MgO-Moor-A</v>
      </c>
      <c r="B197" s="15" t="s">
        <v>3311</v>
      </c>
      <c r="C197" s="15" t="s">
        <v>25</v>
      </c>
      <c r="D197" s="15" t="s">
        <v>3369</v>
      </c>
      <c r="E197" s="15" t="s">
        <v>3330</v>
      </c>
      <c r="F197" s="15">
        <v>10</v>
      </c>
      <c r="G197" s="1805"/>
      <c r="H197" s="22"/>
      <c r="I197" s="22"/>
      <c r="J197" s="22"/>
      <c r="K197" s="1805"/>
      <c r="L197" s="1805"/>
      <c r="M197" s="1805"/>
      <c r="N197" s="1805"/>
      <c r="O197" s="1805"/>
      <c r="P197" s="1805"/>
      <c r="Q197" s="1805"/>
      <c r="R197" s="1805"/>
      <c r="S197" s="1805"/>
      <c r="T197" s="1805"/>
      <c r="U197" s="1805"/>
      <c r="V197" s="1805"/>
      <c r="W197" s="1805"/>
      <c r="X197" s="1805"/>
      <c r="Y197" s="1805"/>
      <c r="Z197" s="1805"/>
      <c r="AA197" s="1805"/>
      <c r="AB197" s="1805"/>
      <c r="AC197" s="1805"/>
      <c r="AD197" s="1805"/>
      <c r="AE197" s="22"/>
      <c r="AF197" s="22"/>
      <c r="AG197" s="22"/>
      <c r="AH197" s="22"/>
      <c r="AI197" s="22"/>
      <c r="AJ197" s="22"/>
    </row>
    <row r="198" spans="1:36" x14ac:dyDescent="0.2">
      <c r="A198" s="15" t="str">
        <f t="shared" si="2"/>
        <v>Grünland-MgO-Moor-B</v>
      </c>
      <c r="B198" s="15" t="s">
        <v>3311</v>
      </c>
      <c r="C198" s="15" t="s">
        <v>25</v>
      </c>
      <c r="D198" s="15" t="s">
        <v>3369</v>
      </c>
      <c r="E198" s="15" t="s">
        <v>3335</v>
      </c>
      <c r="F198" s="15">
        <v>20</v>
      </c>
      <c r="G198" s="1805"/>
      <c r="H198" s="22"/>
      <c r="I198" s="22"/>
      <c r="J198" s="22"/>
      <c r="K198" s="1805"/>
      <c r="L198" s="1805"/>
      <c r="M198" s="1805"/>
      <c r="N198" s="1805"/>
      <c r="O198" s="1805"/>
      <c r="P198" s="1805"/>
      <c r="Q198" s="1805"/>
      <c r="R198" s="1805"/>
      <c r="S198" s="1805"/>
      <c r="T198" s="1805"/>
      <c r="U198" s="1805"/>
      <c r="V198" s="1805"/>
      <c r="W198" s="1805"/>
      <c r="X198" s="1805"/>
      <c r="Y198" s="1805"/>
      <c r="Z198" s="1805"/>
      <c r="AA198" s="1805"/>
      <c r="AB198" s="1805"/>
      <c r="AC198" s="1805"/>
      <c r="AD198" s="1805"/>
      <c r="AE198" s="22"/>
      <c r="AF198" s="22"/>
      <c r="AG198" s="22"/>
      <c r="AH198" s="22"/>
      <c r="AI198" s="22"/>
      <c r="AJ198" s="22"/>
    </row>
    <row r="199" spans="1:36" x14ac:dyDescent="0.2">
      <c r="A199" s="15" t="str">
        <f t="shared" si="2"/>
        <v>Grünland-MgO-Moor-C</v>
      </c>
      <c r="B199" s="15" t="s">
        <v>3311</v>
      </c>
      <c r="C199" s="15" t="s">
        <v>25</v>
      </c>
      <c r="D199" s="15" t="s">
        <v>3369</v>
      </c>
      <c r="E199" s="15" t="s">
        <v>3336</v>
      </c>
      <c r="F199" s="15">
        <v>30</v>
      </c>
      <c r="G199" s="1805"/>
      <c r="H199" s="22"/>
      <c r="I199" s="22"/>
      <c r="J199" s="22"/>
      <c r="K199" s="1805"/>
      <c r="L199" s="1805"/>
      <c r="M199" s="1805"/>
      <c r="N199" s="1805"/>
      <c r="O199" s="1805"/>
      <c r="P199" s="1805"/>
      <c r="Q199" s="1805"/>
      <c r="R199" s="1805"/>
      <c r="S199" s="1805"/>
      <c r="T199" s="1805"/>
      <c r="U199" s="1805"/>
      <c r="V199" s="1805"/>
      <c r="W199" s="1805"/>
      <c r="X199" s="1805"/>
      <c r="Y199" s="1805"/>
      <c r="Z199" s="1805"/>
      <c r="AA199" s="1805"/>
      <c r="AB199" s="1805"/>
      <c r="AC199" s="1805"/>
      <c r="AD199" s="1805"/>
      <c r="AE199" s="22"/>
      <c r="AF199" s="22"/>
      <c r="AG199" s="22"/>
      <c r="AH199" s="22"/>
      <c r="AI199" s="22"/>
      <c r="AJ199" s="22"/>
    </row>
    <row r="200" spans="1:36" x14ac:dyDescent="0.2">
      <c r="A200" s="15" t="str">
        <f t="shared" si="2"/>
        <v>Grünland-MgO-Moor-D</v>
      </c>
      <c r="B200" s="15" t="s">
        <v>3311</v>
      </c>
      <c r="C200" s="15" t="s">
        <v>25</v>
      </c>
      <c r="D200" s="15" t="s">
        <v>3369</v>
      </c>
      <c r="E200" s="15" t="s">
        <v>3337</v>
      </c>
      <c r="F200" s="15">
        <v>40</v>
      </c>
      <c r="G200" s="1805"/>
      <c r="H200" s="22"/>
      <c r="I200" s="22"/>
      <c r="J200" s="22"/>
      <c r="K200" s="1805"/>
      <c r="L200" s="1805"/>
      <c r="M200" s="1805"/>
      <c r="N200" s="1805"/>
      <c r="O200" s="1805"/>
      <c r="P200" s="1805"/>
      <c r="Q200" s="1805"/>
      <c r="R200" s="1805"/>
      <c r="S200" s="1805"/>
      <c r="T200" s="1805"/>
      <c r="U200" s="1805"/>
      <c r="V200" s="1805"/>
      <c r="W200" s="1805"/>
      <c r="X200" s="1805"/>
      <c r="Y200" s="1805"/>
      <c r="Z200" s="1805"/>
      <c r="AA200" s="1805"/>
      <c r="AB200" s="1805"/>
      <c r="AC200" s="1805"/>
      <c r="AD200" s="1805"/>
      <c r="AE200" s="22"/>
      <c r="AF200" s="22"/>
      <c r="AG200" s="22"/>
      <c r="AH200" s="22"/>
      <c r="AI200" s="22"/>
      <c r="AJ200" s="22"/>
    </row>
    <row r="201" spans="1:36" x14ac:dyDescent="0.2">
      <c r="A201" s="15" t="str">
        <f t="shared" si="2"/>
        <v>Grünland-MgO-schwer-A</v>
      </c>
      <c r="B201" s="15" t="s">
        <v>3311</v>
      </c>
      <c r="C201" s="15" t="s">
        <v>25</v>
      </c>
      <c r="D201" s="15" t="s">
        <v>3640</v>
      </c>
      <c r="E201" s="15" t="s">
        <v>3330</v>
      </c>
      <c r="F201" s="15">
        <v>5</v>
      </c>
      <c r="G201" s="1805"/>
      <c r="H201" s="22"/>
      <c r="I201" s="22"/>
      <c r="J201" s="22"/>
      <c r="K201" s="1805"/>
      <c r="L201" s="1805"/>
      <c r="M201" s="1805"/>
      <c r="N201" s="1805"/>
      <c r="O201" s="1805"/>
      <c r="P201" s="1805"/>
      <c r="Q201" s="1805"/>
      <c r="R201" s="1805"/>
      <c r="S201" s="1805"/>
      <c r="T201" s="1805"/>
      <c r="U201" s="1805"/>
      <c r="V201" s="1805"/>
      <c r="W201" s="1805"/>
      <c r="X201" s="1805"/>
      <c r="Y201" s="1805"/>
      <c r="Z201" s="1805"/>
      <c r="AA201" s="1805"/>
      <c r="AB201" s="1805"/>
      <c r="AC201" s="1805"/>
      <c r="AD201" s="1805"/>
      <c r="AE201" s="22"/>
      <c r="AF201" s="22"/>
      <c r="AG201" s="22"/>
      <c r="AH201" s="22"/>
      <c r="AI201" s="22"/>
      <c r="AJ201" s="22"/>
    </row>
    <row r="202" spans="1:36" x14ac:dyDescent="0.2">
      <c r="A202" s="15" t="str">
        <f t="shared" si="2"/>
        <v>Grünland-MgO-schwer-B</v>
      </c>
      <c r="B202" s="15" t="s">
        <v>3311</v>
      </c>
      <c r="C202" s="15" t="s">
        <v>25</v>
      </c>
      <c r="D202" s="15" t="s">
        <v>3640</v>
      </c>
      <c r="E202" s="15" t="s">
        <v>3335</v>
      </c>
      <c r="F202" s="15">
        <v>9</v>
      </c>
      <c r="G202" s="1805"/>
      <c r="H202" s="22"/>
      <c r="I202" s="22"/>
      <c r="J202" s="22"/>
      <c r="K202" s="1805"/>
      <c r="L202" s="1805"/>
      <c r="M202" s="1805"/>
      <c r="N202" s="1805"/>
      <c r="O202" s="1805"/>
      <c r="P202" s="1805"/>
      <c r="Q202" s="1805"/>
      <c r="R202" s="1805"/>
      <c r="S202" s="1805"/>
      <c r="T202" s="1805"/>
      <c r="U202" s="1805"/>
      <c r="V202" s="1805"/>
      <c r="W202" s="1805"/>
      <c r="X202" s="1805"/>
      <c r="Y202" s="1805"/>
      <c r="Z202" s="1805"/>
      <c r="AA202" s="1805"/>
      <c r="AB202" s="1805"/>
      <c r="AC202" s="1805"/>
      <c r="AD202" s="1805"/>
      <c r="AE202" s="22"/>
      <c r="AF202" s="22"/>
      <c r="AG202" s="22"/>
      <c r="AH202" s="22"/>
      <c r="AI202" s="22"/>
      <c r="AJ202" s="22"/>
    </row>
    <row r="203" spans="1:36" x14ac:dyDescent="0.2">
      <c r="A203" s="15" t="str">
        <f t="shared" si="2"/>
        <v>Grünland-MgO-schwer-C</v>
      </c>
      <c r="B203" s="15" t="s">
        <v>3311</v>
      </c>
      <c r="C203" s="15" t="s">
        <v>25</v>
      </c>
      <c r="D203" s="15" t="s">
        <v>3640</v>
      </c>
      <c r="E203" s="15" t="s">
        <v>3336</v>
      </c>
      <c r="F203" s="15">
        <v>15</v>
      </c>
      <c r="G203" s="1805"/>
      <c r="H203" s="22"/>
      <c r="I203" s="22"/>
      <c r="J203" s="22"/>
      <c r="K203" s="1805"/>
      <c r="L203" s="1805"/>
      <c r="M203" s="1805"/>
      <c r="N203" s="1805"/>
      <c r="O203" s="1805"/>
      <c r="P203" s="1805"/>
      <c r="Q203" s="1805"/>
      <c r="R203" s="1805"/>
      <c r="S203" s="1805"/>
      <c r="T203" s="1805"/>
      <c r="U203" s="1805"/>
      <c r="V203" s="1805"/>
      <c r="W203" s="1805"/>
      <c r="X203" s="1805"/>
      <c r="Y203" s="1805"/>
      <c r="Z203" s="1805"/>
      <c r="AA203" s="1805"/>
      <c r="AB203" s="1805"/>
      <c r="AC203" s="1805"/>
      <c r="AD203" s="1805"/>
      <c r="AE203" s="22"/>
      <c r="AF203" s="22"/>
      <c r="AG203" s="22"/>
      <c r="AH203" s="22"/>
      <c r="AI203" s="22"/>
      <c r="AJ203" s="22"/>
    </row>
    <row r="204" spans="1:36" x14ac:dyDescent="0.2">
      <c r="A204" s="15" t="str">
        <f t="shared" si="2"/>
        <v>Grünland-MgO-schwer-D</v>
      </c>
      <c r="B204" s="15" t="s">
        <v>3311</v>
      </c>
      <c r="C204" s="15" t="s">
        <v>25</v>
      </c>
      <c r="D204" s="15" t="s">
        <v>3640</v>
      </c>
      <c r="E204" s="15" t="s">
        <v>3337</v>
      </c>
      <c r="F204" s="15">
        <v>25</v>
      </c>
      <c r="G204" s="1805"/>
      <c r="H204" s="22"/>
      <c r="I204" s="22"/>
      <c r="J204" s="22"/>
      <c r="K204" s="1805"/>
      <c r="L204" s="1805"/>
      <c r="M204" s="1805"/>
      <c r="N204" s="1805"/>
      <c r="O204" s="1805"/>
      <c r="P204" s="1805"/>
      <c r="Q204" s="1805"/>
      <c r="R204" s="1805"/>
      <c r="S204" s="1805"/>
      <c r="T204" s="1805"/>
      <c r="U204" s="1805"/>
      <c r="V204" s="1805"/>
      <c r="W204" s="1805"/>
      <c r="X204" s="1805"/>
      <c r="Y204" s="1805"/>
      <c r="Z204" s="1805"/>
      <c r="AA204" s="1805"/>
      <c r="AB204" s="1805"/>
      <c r="AC204" s="1805"/>
      <c r="AD204" s="1805"/>
      <c r="AE204" s="22"/>
      <c r="AF204" s="22"/>
      <c r="AG204" s="22"/>
      <c r="AH204" s="22"/>
      <c r="AI204" s="22"/>
      <c r="AJ204" s="22"/>
    </row>
    <row r="205" spans="1:36" x14ac:dyDescent="0.2">
      <c r="A205" s="15" t="str">
        <f t="shared" si="2"/>
        <v>Ackerland-P2O5-leicht-A</v>
      </c>
      <c r="B205" s="15" t="s">
        <v>4888</v>
      </c>
      <c r="C205" s="15" t="s">
        <v>3807</v>
      </c>
      <c r="D205" s="15" t="s">
        <v>3635</v>
      </c>
      <c r="E205" s="15" t="s">
        <v>3330</v>
      </c>
      <c r="F205" s="15">
        <v>5</v>
      </c>
      <c r="G205" s="1805"/>
      <c r="H205" s="22"/>
      <c r="I205" s="22"/>
      <c r="J205" s="22"/>
      <c r="K205" s="1805"/>
      <c r="L205" s="1805"/>
      <c r="M205" s="1805"/>
      <c r="N205" s="1805"/>
      <c r="O205" s="1805"/>
      <c r="P205" s="1805"/>
      <c r="Q205" s="1805"/>
      <c r="R205" s="1805"/>
      <c r="S205" s="1805"/>
      <c r="T205" s="1805"/>
      <c r="U205" s="1805"/>
      <c r="V205" s="1805"/>
      <c r="W205" s="1805"/>
      <c r="X205" s="1805"/>
      <c r="Y205" s="1805"/>
      <c r="Z205" s="1805"/>
      <c r="AA205" s="1805"/>
      <c r="AB205" s="1805"/>
      <c r="AC205" s="1805"/>
      <c r="AD205" s="1805"/>
      <c r="AE205" s="22"/>
      <c r="AF205" s="22"/>
      <c r="AG205" s="22"/>
      <c r="AH205" s="22"/>
      <c r="AI205" s="22"/>
      <c r="AJ205" s="22"/>
    </row>
    <row r="206" spans="1:36" x14ac:dyDescent="0.2">
      <c r="A206" s="15" t="str">
        <f t="shared" si="2"/>
        <v>Ackerland-P2O5-leicht-B</v>
      </c>
      <c r="B206" s="15" t="s">
        <v>4888</v>
      </c>
      <c r="C206" s="15" t="s">
        <v>3807</v>
      </c>
      <c r="D206" s="15" t="s">
        <v>3635</v>
      </c>
      <c r="E206" s="15" t="s">
        <v>3335</v>
      </c>
      <c r="F206" s="15">
        <v>9</v>
      </c>
      <c r="G206" s="1805"/>
      <c r="H206" s="22"/>
      <c r="I206" s="22"/>
      <c r="J206" s="22"/>
      <c r="K206" s="1805"/>
      <c r="L206" s="1805"/>
      <c r="M206" s="1805"/>
      <c r="N206" s="1805"/>
      <c r="O206" s="1805"/>
      <c r="P206" s="1805"/>
      <c r="Q206" s="1805"/>
      <c r="R206" s="1805"/>
      <c r="S206" s="1805"/>
      <c r="T206" s="1805"/>
      <c r="U206" s="1805"/>
      <c r="V206" s="1805"/>
      <c r="W206" s="1805"/>
      <c r="X206" s="1805"/>
      <c r="Y206" s="1805"/>
      <c r="Z206" s="1805"/>
      <c r="AA206" s="1805"/>
      <c r="AB206" s="1805"/>
      <c r="AC206" s="1805"/>
      <c r="AD206" s="1805"/>
      <c r="AE206" s="22"/>
      <c r="AF206" s="22"/>
      <c r="AG206" s="22"/>
      <c r="AH206" s="22"/>
      <c r="AI206" s="22"/>
      <c r="AJ206" s="22"/>
    </row>
    <row r="207" spans="1:36" x14ac:dyDescent="0.2">
      <c r="A207" s="15" t="str">
        <f t="shared" si="2"/>
        <v>Ackerland-P2O5-leicht-C</v>
      </c>
      <c r="B207" s="15" t="s">
        <v>4888</v>
      </c>
      <c r="C207" s="15" t="s">
        <v>3807</v>
      </c>
      <c r="D207" s="15" t="s">
        <v>3635</v>
      </c>
      <c r="E207" s="15" t="s">
        <v>3336</v>
      </c>
      <c r="F207" s="15">
        <v>20</v>
      </c>
      <c r="G207" s="1805"/>
      <c r="H207" s="22"/>
      <c r="I207" s="22"/>
      <c r="J207" s="22"/>
      <c r="K207" s="1805"/>
      <c r="L207" s="1805"/>
      <c r="M207" s="1805"/>
      <c r="N207" s="1805"/>
      <c r="O207" s="1805"/>
      <c r="P207" s="1805"/>
      <c r="Q207" s="1805"/>
      <c r="R207" s="1805"/>
      <c r="S207" s="1805"/>
      <c r="T207" s="1805"/>
      <c r="U207" s="1805"/>
      <c r="V207" s="1805"/>
      <c r="W207" s="1805"/>
      <c r="X207" s="1805"/>
      <c r="Y207" s="1805"/>
      <c r="Z207" s="1805"/>
      <c r="AA207" s="1805"/>
      <c r="AB207" s="1805"/>
      <c r="AC207" s="1805"/>
      <c r="AD207" s="1805"/>
      <c r="AE207" s="22"/>
      <c r="AF207" s="22"/>
      <c r="AG207" s="22"/>
      <c r="AH207" s="22"/>
      <c r="AI207" s="22"/>
      <c r="AJ207" s="22"/>
    </row>
    <row r="208" spans="1:36" x14ac:dyDescent="0.2">
      <c r="A208" s="15" t="str">
        <f t="shared" si="2"/>
        <v>Ackerland-P2O5-leicht-D</v>
      </c>
      <c r="B208" s="15" t="s">
        <v>4888</v>
      </c>
      <c r="C208" s="15" t="s">
        <v>3807</v>
      </c>
      <c r="D208" s="15" t="s">
        <v>3635</v>
      </c>
      <c r="E208" s="15" t="s">
        <v>3337</v>
      </c>
      <c r="F208" s="15">
        <v>34</v>
      </c>
      <c r="G208" s="1805"/>
      <c r="H208" s="22"/>
      <c r="I208" s="22"/>
      <c r="J208" s="22"/>
      <c r="K208" s="1805"/>
      <c r="L208" s="1805"/>
      <c r="M208" s="1805"/>
      <c r="N208" s="1805"/>
      <c r="O208" s="1805"/>
      <c r="P208" s="1805"/>
      <c r="Q208" s="1805"/>
      <c r="R208" s="1805"/>
      <c r="S208" s="1805"/>
      <c r="T208" s="1805"/>
      <c r="U208" s="1805"/>
      <c r="V208" s="1805"/>
      <c r="W208" s="1805"/>
      <c r="X208" s="1805"/>
      <c r="Y208" s="1805"/>
      <c r="Z208" s="1805"/>
      <c r="AA208" s="1805"/>
      <c r="AB208" s="1805"/>
      <c r="AC208" s="1805"/>
      <c r="AD208" s="1805"/>
      <c r="AE208" s="22"/>
      <c r="AF208" s="22"/>
      <c r="AG208" s="22"/>
      <c r="AH208" s="22"/>
      <c r="AI208" s="22"/>
      <c r="AJ208" s="22"/>
    </row>
    <row r="209" spans="1:36" x14ac:dyDescent="0.2">
      <c r="A209" s="15" t="str">
        <f t="shared" si="2"/>
        <v>Ackerland-P2O5-mittel-A</v>
      </c>
      <c r="B209" s="15" t="s">
        <v>4888</v>
      </c>
      <c r="C209" s="15" t="s">
        <v>3807</v>
      </c>
      <c r="D209" s="15" t="s">
        <v>3453</v>
      </c>
      <c r="E209" s="15" t="s">
        <v>3330</v>
      </c>
      <c r="F209" s="15">
        <v>5</v>
      </c>
      <c r="G209" s="1805"/>
      <c r="H209" s="22"/>
      <c r="I209" s="22"/>
      <c r="J209" s="22"/>
      <c r="K209" s="1805"/>
      <c r="L209" s="1805"/>
      <c r="M209" s="1805"/>
      <c r="N209" s="1805"/>
      <c r="O209" s="1805"/>
      <c r="P209" s="1805"/>
      <c r="Q209" s="1805"/>
      <c r="R209" s="1805"/>
      <c r="S209" s="1805"/>
      <c r="T209" s="1805"/>
      <c r="U209" s="1805"/>
      <c r="V209" s="1805"/>
      <c r="W209" s="1805"/>
      <c r="X209" s="1805"/>
      <c r="Y209" s="1805"/>
      <c r="Z209" s="1805"/>
      <c r="AA209" s="1805"/>
      <c r="AB209" s="1805"/>
      <c r="AC209" s="1805"/>
      <c r="AD209" s="1805"/>
      <c r="AE209" s="22"/>
      <c r="AF209" s="22"/>
      <c r="AG209" s="22"/>
      <c r="AH209" s="22"/>
      <c r="AI209" s="22"/>
      <c r="AJ209" s="22"/>
    </row>
    <row r="210" spans="1:36" x14ac:dyDescent="0.2">
      <c r="A210" s="15" t="str">
        <f t="shared" si="2"/>
        <v>Ackerland-P2O5-mittel-B</v>
      </c>
      <c r="B210" s="15" t="s">
        <v>4888</v>
      </c>
      <c r="C210" s="15" t="s">
        <v>3807</v>
      </c>
      <c r="D210" s="15" t="s">
        <v>3453</v>
      </c>
      <c r="E210" s="15" t="s">
        <v>3335</v>
      </c>
      <c r="F210" s="15">
        <v>9</v>
      </c>
      <c r="G210" s="1805"/>
      <c r="H210" s="22"/>
      <c r="I210" s="22"/>
      <c r="J210" s="22"/>
      <c r="K210" s="1805"/>
      <c r="L210" s="1805"/>
      <c r="M210" s="1805"/>
      <c r="N210" s="1805"/>
      <c r="O210" s="1805"/>
      <c r="P210" s="1805"/>
      <c r="Q210" s="1805"/>
      <c r="R210" s="1805"/>
      <c r="S210" s="1805"/>
      <c r="T210" s="1805"/>
      <c r="U210" s="1805"/>
      <c r="V210" s="1805"/>
      <c r="W210" s="1805"/>
      <c r="X210" s="1805"/>
      <c r="Y210" s="1805"/>
      <c r="Z210" s="1805"/>
      <c r="AA210" s="1805"/>
      <c r="AB210" s="1805"/>
      <c r="AC210" s="1805"/>
      <c r="AD210" s="1805"/>
      <c r="AE210" s="22"/>
      <c r="AF210" s="22"/>
      <c r="AG210" s="22"/>
      <c r="AH210" s="22"/>
      <c r="AI210" s="22"/>
      <c r="AJ210" s="22"/>
    </row>
    <row r="211" spans="1:36" x14ac:dyDescent="0.2">
      <c r="A211" s="15" t="str">
        <f t="shared" si="2"/>
        <v>Ackerland-P2O5-mittel-C</v>
      </c>
      <c r="B211" s="15" t="s">
        <v>4888</v>
      </c>
      <c r="C211" s="15" t="s">
        <v>3807</v>
      </c>
      <c r="D211" s="15" t="s">
        <v>3453</v>
      </c>
      <c r="E211" s="15" t="s">
        <v>3336</v>
      </c>
      <c r="F211" s="15">
        <v>20</v>
      </c>
      <c r="G211" s="1805"/>
      <c r="H211" s="22"/>
      <c r="I211" s="22"/>
      <c r="J211" s="22"/>
      <c r="K211" s="1805"/>
      <c r="L211" s="1805"/>
      <c r="M211" s="1805"/>
      <c r="N211" s="1805"/>
      <c r="O211" s="1805"/>
      <c r="P211" s="1805"/>
      <c r="Q211" s="1805"/>
      <c r="R211" s="1805"/>
      <c r="S211" s="1805"/>
      <c r="T211" s="1805"/>
      <c r="U211" s="1805"/>
      <c r="V211" s="1805"/>
      <c r="W211" s="1805"/>
      <c r="X211" s="1805"/>
      <c r="Y211" s="1805"/>
      <c r="Z211" s="1805"/>
      <c r="AA211" s="1805"/>
      <c r="AB211" s="1805"/>
      <c r="AC211" s="1805"/>
      <c r="AD211" s="1805"/>
      <c r="AE211" s="22"/>
      <c r="AF211" s="22"/>
      <c r="AG211" s="22"/>
      <c r="AH211" s="22"/>
      <c r="AI211" s="22"/>
      <c r="AJ211" s="22"/>
    </row>
    <row r="212" spans="1:36" x14ac:dyDescent="0.2">
      <c r="A212" s="15" t="str">
        <f t="shared" si="2"/>
        <v>Ackerland-P2O5-mittel-D</v>
      </c>
      <c r="B212" s="15" t="s">
        <v>4888</v>
      </c>
      <c r="C212" s="15" t="s">
        <v>3807</v>
      </c>
      <c r="D212" s="15" t="s">
        <v>3453</v>
      </c>
      <c r="E212" s="15" t="s">
        <v>3337</v>
      </c>
      <c r="F212" s="15">
        <v>34</v>
      </c>
      <c r="G212" s="1805"/>
      <c r="H212" s="22"/>
      <c r="I212" s="22"/>
      <c r="J212" s="22"/>
      <c r="K212" s="1805"/>
      <c r="L212" s="1805"/>
      <c r="M212" s="1805"/>
      <c r="N212" s="1805"/>
      <c r="O212" s="1805"/>
      <c r="P212" s="1805"/>
      <c r="Q212" s="1805"/>
      <c r="R212" s="1805"/>
      <c r="S212" s="1805"/>
      <c r="T212" s="1805"/>
      <c r="U212" s="1805"/>
      <c r="V212" s="1805"/>
      <c r="W212" s="1805"/>
      <c r="X212" s="1805"/>
      <c r="Y212" s="1805"/>
      <c r="Z212" s="1805"/>
      <c r="AA212" s="1805"/>
      <c r="AB212" s="1805"/>
      <c r="AC212" s="1805"/>
      <c r="AD212" s="1805"/>
      <c r="AE212" s="22"/>
      <c r="AF212" s="22"/>
      <c r="AG212" s="22"/>
      <c r="AH212" s="22"/>
      <c r="AI212" s="22"/>
      <c r="AJ212" s="22"/>
    </row>
    <row r="213" spans="1:36" x14ac:dyDescent="0.2">
      <c r="A213" s="15" t="str">
        <f t="shared" si="2"/>
        <v>Ackerland-P2O5-Moor-A</v>
      </c>
      <c r="B213" s="15" t="s">
        <v>4888</v>
      </c>
      <c r="C213" s="15" t="s">
        <v>3807</v>
      </c>
      <c r="D213" s="15" t="s">
        <v>3369</v>
      </c>
      <c r="E213" s="15" t="s">
        <v>3330</v>
      </c>
      <c r="F213" s="15">
        <v>10</v>
      </c>
      <c r="G213" s="1805"/>
      <c r="H213" s="22"/>
      <c r="I213" s="22"/>
      <c r="J213" s="22"/>
      <c r="K213" s="1805"/>
      <c r="L213" s="1805"/>
      <c r="M213" s="1805"/>
      <c r="N213" s="1805"/>
      <c r="O213" s="1805"/>
      <c r="P213" s="1805"/>
      <c r="Q213" s="1805"/>
      <c r="R213" s="1805"/>
      <c r="S213" s="1805"/>
      <c r="T213" s="1805"/>
      <c r="U213" s="1805"/>
      <c r="V213" s="1805"/>
      <c r="W213" s="1805"/>
      <c r="X213" s="1805"/>
      <c r="Y213" s="1805"/>
      <c r="Z213" s="1805"/>
      <c r="AA213" s="1805"/>
      <c r="AB213" s="1805"/>
      <c r="AC213" s="1805"/>
      <c r="AD213" s="1805"/>
      <c r="AE213" s="22"/>
      <c r="AF213" s="22"/>
      <c r="AG213" s="22"/>
      <c r="AH213" s="22"/>
      <c r="AI213" s="22"/>
      <c r="AJ213" s="22"/>
    </row>
    <row r="214" spans="1:36" x14ac:dyDescent="0.2">
      <c r="A214" s="15" t="str">
        <f t="shared" si="2"/>
        <v>Ackerland-P2O5-Moor-B</v>
      </c>
      <c r="B214" s="15" t="s">
        <v>4888</v>
      </c>
      <c r="C214" s="15" t="s">
        <v>3807</v>
      </c>
      <c r="D214" s="15" t="s">
        <v>3369</v>
      </c>
      <c r="E214" s="15" t="s">
        <v>3335</v>
      </c>
      <c r="F214" s="15">
        <v>20</v>
      </c>
      <c r="G214" s="1805"/>
      <c r="H214" s="22"/>
      <c r="I214" s="22"/>
      <c r="J214" s="22"/>
      <c r="K214" s="1805"/>
      <c r="L214" s="1805"/>
      <c r="M214" s="1805"/>
      <c r="N214" s="1805"/>
      <c r="O214" s="1805"/>
      <c r="P214" s="1805"/>
      <c r="Q214" s="1805"/>
      <c r="R214" s="1805"/>
      <c r="S214" s="1805"/>
      <c r="T214" s="1805"/>
      <c r="U214" s="1805"/>
      <c r="V214" s="1805"/>
      <c r="W214" s="1805"/>
      <c r="X214" s="1805"/>
      <c r="Y214" s="1805"/>
      <c r="Z214" s="1805"/>
      <c r="AA214" s="1805"/>
      <c r="AB214" s="1805"/>
      <c r="AC214" s="1805"/>
      <c r="AD214" s="1805"/>
      <c r="AE214" s="22"/>
      <c r="AF214" s="22"/>
      <c r="AG214" s="22"/>
      <c r="AH214" s="22"/>
      <c r="AI214" s="22"/>
      <c r="AJ214" s="22"/>
    </row>
    <row r="215" spans="1:36" x14ac:dyDescent="0.2">
      <c r="A215" s="15" t="str">
        <f t="shared" si="2"/>
        <v>Ackerland-P2O5-Moor-C</v>
      </c>
      <c r="B215" s="15" t="s">
        <v>4888</v>
      </c>
      <c r="C215" s="15" t="s">
        <v>3807</v>
      </c>
      <c r="D215" s="15" t="s">
        <v>3369</v>
      </c>
      <c r="E215" s="15" t="s">
        <v>3336</v>
      </c>
      <c r="F215" s="15">
        <v>30</v>
      </c>
      <c r="G215" s="1805"/>
      <c r="H215" s="22"/>
      <c r="I215" s="22"/>
      <c r="J215" s="22"/>
      <c r="K215" s="1805"/>
      <c r="L215" s="1805"/>
      <c r="M215" s="1805"/>
      <c r="N215" s="1805"/>
      <c r="O215" s="1805"/>
      <c r="P215" s="1805"/>
      <c r="Q215" s="1805"/>
      <c r="R215" s="1805"/>
      <c r="S215" s="1805"/>
      <c r="T215" s="1805"/>
      <c r="U215" s="1805"/>
      <c r="V215" s="1805"/>
      <c r="W215" s="1805"/>
      <c r="X215" s="1805"/>
      <c r="Y215" s="1805"/>
      <c r="Z215" s="1805"/>
      <c r="AA215" s="1805"/>
      <c r="AB215" s="1805"/>
      <c r="AC215" s="1805"/>
      <c r="AD215" s="1805"/>
      <c r="AE215" s="22"/>
      <c r="AF215" s="22"/>
      <c r="AG215" s="22"/>
      <c r="AH215" s="22"/>
      <c r="AI215" s="22"/>
      <c r="AJ215" s="22"/>
    </row>
    <row r="216" spans="1:36" x14ac:dyDescent="0.2">
      <c r="A216" s="15" t="str">
        <f t="shared" si="2"/>
        <v>Ackerland-P2O5-Moor-D</v>
      </c>
      <c r="B216" s="15" t="s">
        <v>4888</v>
      </c>
      <c r="C216" s="15" t="s">
        <v>3807</v>
      </c>
      <c r="D216" s="15" t="s">
        <v>3369</v>
      </c>
      <c r="E216" s="15" t="s">
        <v>3337</v>
      </c>
      <c r="F216" s="15">
        <v>40</v>
      </c>
      <c r="G216" s="1805"/>
      <c r="H216" s="22"/>
      <c r="I216" s="22"/>
      <c r="J216" s="22"/>
      <c r="K216" s="1805"/>
      <c r="L216" s="1805"/>
      <c r="M216" s="1805"/>
      <c r="N216" s="1805"/>
      <c r="O216" s="1805"/>
      <c r="P216" s="1805"/>
      <c r="Q216" s="1805"/>
      <c r="R216" s="1805"/>
      <c r="S216" s="1805"/>
      <c r="T216" s="1805"/>
      <c r="U216" s="1805"/>
      <c r="V216" s="1805"/>
      <c r="W216" s="1805"/>
      <c r="X216" s="1805"/>
      <c r="Y216" s="1805"/>
      <c r="Z216" s="1805"/>
      <c r="AA216" s="1805"/>
      <c r="AB216" s="1805"/>
      <c r="AC216" s="1805"/>
      <c r="AD216" s="1805"/>
      <c r="AE216" s="22"/>
      <c r="AF216" s="22"/>
      <c r="AG216" s="22"/>
      <c r="AH216" s="22"/>
      <c r="AI216" s="22"/>
      <c r="AJ216" s="22"/>
    </row>
    <row r="217" spans="1:36" x14ac:dyDescent="0.2">
      <c r="A217" s="15" t="str">
        <f t="shared" si="2"/>
        <v>Ackerland-P2O5-schwer-A</v>
      </c>
      <c r="B217" s="15" t="s">
        <v>4888</v>
      </c>
      <c r="C217" s="15" t="s">
        <v>3807</v>
      </c>
      <c r="D217" s="15" t="s">
        <v>3640</v>
      </c>
      <c r="E217" s="15" t="s">
        <v>3330</v>
      </c>
      <c r="F217" s="15">
        <v>5</v>
      </c>
      <c r="G217" s="1805"/>
      <c r="H217" s="22"/>
      <c r="I217" s="22"/>
      <c r="J217" s="22"/>
      <c r="K217" s="1805"/>
      <c r="L217" s="1805"/>
      <c r="M217" s="1805"/>
      <c r="N217" s="1805"/>
      <c r="O217" s="1805"/>
      <c r="P217" s="1805"/>
      <c r="Q217" s="1805"/>
      <c r="R217" s="1805"/>
      <c r="S217" s="1805"/>
      <c r="T217" s="1805"/>
      <c r="U217" s="1805"/>
      <c r="V217" s="1805"/>
      <c r="W217" s="1805"/>
      <c r="X217" s="1805"/>
      <c r="Y217" s="1805"/>
      <c r="Z217" s="1805"/>
      <c r="AA217" s="1805"/>
      <c r="AB217" s="1805"/>
      <c r="AC217" s="1805"/>
      <c r="AD217" s="1805"/>
      <c r="AE217" s="22"/>
      <c r="AF217" s="22"/>
      <c r="AG217" s="22"/>
      <c r="AH217" s="22"/>
      <c r="AI217" s="22"/>
      <c r="AJ217" s="22"/>
    </row>
    <row r="218" spans="1:36" x14ac:dyDescent="0.2">
      <c r="A218" s="15" t="str">
        <f t="shared" si="2"/>
        <v>Ackerland-P2O5-schwer-B</v>
      </c>
      <c r="B218" s="15" t="s">
        <v>4888</v>
      </c>
      <c r="C218" s="15" t="s">
        <v>3807</v>
      </c>
      <c r="D218" s="15" t="s">
        <v>3640</v>
      </c>
      <c r="E218" s="15" t="s">
        <v>3335</v>
      </c>
      <c r="F218" s="15">
        <v>9</v>
      </c>
      <c r="G218" s="1805"/>
      <c r="H218" s="22"/>
      <c r="I218" s="22"/>
      <c r="J218" s="22"/>
      <c r="K218" s="1805"/>
      <c r="L218" s="1805"/>
      <c r="M218" s="1805"/>
      <c r="N218" s="1805"/>
      <c r="O218" s="1805"/>
      <c r="P218" s="1805"/>
      <c r="Q218" s="1805"/>
      <c r="R218" s="1805"/>
      <c r="S218" s="1805"/>
      <c r="T218" s="1805"/>
      <c r="U218" s="1805"/>
      <c r="V218" s="1805"/>
      <c r="W218" s="1805"/>
      <c r="X218" s="1805"/>
      <c r="Y218" s="1805"/>
      <c r="Z218" s="1805"/>
      <c r="AA218" s="1805"/>
      <c r="AB218" s="1805"/>
      <c r="AC218" s="1805"/>
      <c r="AD218" s="1805"/>
      <c r="AE218" s="22"/>
      <c r="AF218" s="22"/>
      <c r="AG218" s="22"/>
      <c r="AH218" s="22"/>
      <c r="AI218" s="22"/>
      <c r="AJ218" s="22"/>
    </row>
    <row r="219" spans="1:36" x14ac:dyDescent="0.2">
      <c r="A219" s="15" t="str">
        <f t="shared" si="2"/>
        <v>Ackerland-P2O5-schwer-C</v>
      </c>
      <c r="B219" s="15" t="s">
        <v>4888</v>
      </c>
      <c r="C219" s="15" t="s">
        <v>3807</v>
      </c>
      <c r="D219" s="15" t="s">
        <v>3640</v>
      </c>
      <c r="E219" s="15" t="s">
        <v>3336</v>
      </c>
      <c r="F219" s="15">
        <v>20</v>
      </c>
      <c r="G219" s="1805"/>
      <c r="H219" s="22"/>
      <c r="I219" s="22"/>
      <c r="J219" s="22"/>
      <c r="K219" s="1805"/>
      <c r="L219" s="1805"/>
      <c r="M219" s="1805"/>
      <c r="N219" s="1805"/>
      <c r="O219" s="1805"/>
      <c r="P219" s="1805"/>
      <c r="Q219" s="1805"/>
      <c r="R219" s="1805"/>
      <c r="S219" s="1805"/>
      <c r="T219" s="1805"/>
      <c r="U219" s="1805"/>
      <c r="V219" s="1805"/>
      <c r="W219" s="1805"/>
      <c r="X219" s="1805"/>
      <c r="Y219" s="1805"/>
      <c r="Z219" s="1805"/>
      <c r="AA219" s="1805"/>
      <c r="AB219" s="1805"/>
      <c r="AC219" s="1805"/>
      <c r="AD219" s="1805"/>
      <c r="AE219" s="22"/>
      <c r="AF219" s="22"/>
      <c r="AG219" s="22"/>
      <c r="AH219" s="22"/>
      <c r="AI219" s="22"/>
      <c r="AJ219" s="22"/>
    </row>
    <row r="220" spans="1:36" x14ac:dyDescent="0.2">
      <c r="A220" s="15" t="str">
        <f t="shared" si="2"/>
        <v>Ackerland-P2O5-schwer-D</v>
      </c>
      <c r="B220" s="15" t="s">
        <v>4888</v>
      </c>
      <c r="C220" s="15" t="s">
        <v>3807</v>
      </c>
      <c r="D220" s="15" t="s">
        <v>3640</v>
      </c>
      <c r="E220" s="15" t="s">
        <v>3337</v>
      </c>
      <c r="F220" s="15">
        <v>34</v>
      </c>
      <c r="G220" s="1805"/>
      <c r="H220" s="22"/>
      <c r="I220" s="22"/>
      <c r="J220" s="22"/>
      <c r="K220" s="1805"/>
      <c r="L220" s="1805"/>
      <c r="M220" s="1805"/>
      <c r="N220" s="1805"/>
      <c r="O220" s="1805"/>
      <c r="P220" s="1805"/>
      <c r="Q220" s="1805"/>
      <c r="R220" s="1805"/>
      <c r="S220" s="1805"/>
      <c r="T220" s="1805"/>
      <c r="U220" s="1805"/>
      <c r="V220" s="1805"/>
      <c r="W220" s="1805"/>
      <c r="X220" s="1805"/>
      <c r="Y220" s="1805"/>
      <c r="Z220" s="1805"/>
      <c r="AA220" s="1805"/>
      <c r="AB220" s="1805"/>
      <c r="AC220" s="1805"/>
      <c r="AD220" s="1805"/>
      <c r="AE220" s="22"/>
      <c r="AF220" s="22"/>
      <c r="AG220" s="22"/>
      <c r="AH220" s="22"/>
      <c r="AI220" s="22"/>
      <c r="AJ220" s="22"/>
    </row>
    <row r="221" spans="1:36" x14ac:dyDescent="0.2">
      <c r="A221" s="15" t="str">
        <f t="shared" si="2"/>
        <v>Hopfen-P2O5-leicht-A</v>
      </c>
      <c r="B221" s="15" t="s">
        <v>3415</v>
      </c>
      <c r="C221" s="15" t="s">
        <v>3807</v>
      </c>
      <c r="D221" s="15" t="s">
        <v>3635</v>
      </c>
      <c r="E221" s="15" t="s">
        <v>3330</v>
      </c>
      <c r="F221" s="15">
        <v>5</v>
      </c>
      <c r="G221" s="1805"/>
      <c r="H221" s="22"/>
      <c r="I221" s="22"/>
      <c r="J221" s="22"/>
      <c r="K221" s="1805"/>
      <c r="L221" s="1805"/>
      <c r="M221" s="1805"/>
      <c r="N221" s="1805"/>
      <c r="O221" s="1805"/>
      <c r="P221" s="1805"/>
      <c r="Q221" s="1805"/>
      <c r="R221" s="1805"/>
      <c r="S221" s="1805"/>
      <c r="T221" s="1805"/>
      <c r="U221" s="1805"/>
      <c r="V221" s="1805"/>
      <c r="W221" s="1805"/>
      <c r="X221" s="1805"/>
      <c r="Y221" s="1805"/>
      <c r="Z221" s="1805"/>
      <c r="AA221" s="1805"/>
      <c r="AB221" s="1805"/>
      <c r="AC221" s="1805"/>
      <c r="AD221" s="1805"/>
      <c r="AE221" s="22"/>
      <c r="AF221" s="22"/>
      <c r="AG221" s="22"/>
      <c r="AH221" s="22"/>
      <c r="AI221" s="22"/>
      <c r="AJ221" s="22"/>
    </row>
    <row r="222" spans="1:36" x14ac:dyDescent="0.2">
      <c r="A222" s="15" t="str">
        <f t="shared" si="2"/>
        <v>Hopfen-P2O5-leicht-B</v>
      </c>
      <c r="B222" s="15" t="s">
        <v>3415</v>
      </c>
      <c r="C222" s="15" t="s">
        <v>3807</v>
      </c>
      <c r="D222" s="15" t="s">
        <v>3635</v>
      </c>
      <c r="E222" s="15" t="s">
        <v>3335</v>
      </c>
      <c r="F222" s="15">
        <v>9</v>
      </c>
      <c r="G222" s="1805"/>
      <c r="H222" s="22"/>
      <c r="I222" s="22"/>
      <c r="J222" s="22"/>
      <c r="K222" s="1805"/>
      <c r="L222" s="1805"/>
      <c r="M222" s="1805"/>
      <c r="N222" s="1805"/>
      <c r="O222" s="1805"/>
      <c r="P222" s="1805"/>
      <c r="Q222" s="1805"/>
      <c r="R222" s="1805"/>
      <c r="S222" s="1805"/>
      <c r="T222" s="1805"/>
      <c r="U222" s="1805"/>
      <c r="V222" s="1805"/>
      <c r="W222" s="1805"/>
      <c r="X222" s="1805"/>
      <c r="Y222" s="1805"/>
      <c r="Z222" s="1805"/>
      <c r="AA222" s="1805"/>
      <c r="AB222" s="1805"/>
      <c r="AC222" s="1805"/>
      <c r="AD222" s="1805"/>
      <c r="AE222" s="22"/>
      <c r="AF222" s="22"/>
      <c r="AG222" s="22"/>
      <c r="AH222" s="22"/>
      <c r="AI222" s="22"/>
      <c r="AJ222" s="22"/>
    </row>
    <row r="223" spans="1:36" x14ac:dyDescent="0.2">
      <c r="A223" s="15" t="str">
        <f t="shared" si="2"/>
        <v>Hopfen-P2O5-leicht-C</v>
      </c>
      <c r="B223" s="15" t="s">
        <v>3415</v>
      </c>
      <c r="C223" s="15" t="s">
        <v>3807</v>
      </c>
      <c r="D223" s="15" t="s">
        <v>3635</v>
      </c>
      <c r="E223" s="15" t="s">
        <v>3336</v>
      </c>
      <c r="F223" s="15">
        <v>20</v>
      </c>
      <c r="G223" s="1805"/>
      <c r="H223" s="22"/>
      <c r="I223" s="22"/>
      <c r="J223" s="22"/>
      <c r="K223" s="1805"/>
      <c r="L223" s="1805"/>
      <c r="M223" s="1805"/>
      <c r="N223" s="1805"/>
      <c r="O223" s="1805"/>
      <c r="P223" s="1805"/>
      <c r="Q223" s="1805"/>
      <c r="R223" s="1805"/>
      <c r="S223" s="1805"/>
      <c r="T223" s="1805"/>
      <c r="U223" s="1805"/>
      <c r="V223" s="1805"/>
      <c r="W223" s="1805"/>
      <c r="X223" s="1805"/>
      <c r="Y223" s="1805"/>
      <c r="Z223" s="1805"/>
      <c r="AA223" s="1805"/>
      <c r="AB223" s="1805"/>
      <c r="AC223" s="1805"/>
      <c r="AD223" s="1805"/>
      <c r="AE223" s="22"/>
      <c r="AF223" s="22"/>
      <c r="AG223" s="22"/>
      <c r="AH223" s="22"/>
      <c r="AI223" s="22"/>
      <c r="AJ223" s="22"/>
    </row>
    <row r="224" spans="1:36" x14ac:dyDescent="0.2">
      <c r="A224" s="15" t="str">
        <f t="shared" si="2"/>
        <v>Hopfen-P2O5-leicht-D</v>
      </c>
      <c r="B224" s="15" t="s">
        <v>3415</v>
      </c>
      <c r="C224" s="15" t="s">
        <v>3807</v>
      </c>
      <c r="D224" s="15" t="s">
        <v>3635</v>
      </c>
      <c r="E224" s="15" t="s">
        <v>3337</v>
      </c>
      <c r="F224" s="15">
        <v>34</v>
      </c>
      <c r="G224" s="1805"/>
      <c r="H224" s="22"/>
      <c r="I224" s="22"/>
      <c r="J224" s="22"/>
      <c r="K224" s="1805"/>
      <c r="L224" s="1805"/>
      <c r="M224" s="1805"/>
      <c r="N224" s="1805"/>
      <c r="O224" s="1805"/>
      <c r="P224" s="1805"/>
      <c r="Q224" s="1805"/>
      <c r="R224" s="1805"/>
      <c r="S224" s="1805"/>
      <c r="T224" s="1805"/>
      <c r="U224" s="1805"/>
      <c r="V224" s="1805"/>
      <c r="W224" s="1805"/>
      <c r="X224" s="1805"/>
      <c r="Y224" s="1805"/>
      <c r="Z224" s="1805"/>
      <c r="AA224" s="1805"/>
      <c r="AB224" s="1805"/>
      <c r="AC224" s="1805"/>
      <c r="AD224" s="1805"/>
      <c r="AE224" s="22"/>
      <c r="AF224" s="22"/>
      <c r="AG224" s="22"/>
      <c r="AH224" s="22"/>
      <c r="AI224" s="22"/>
      <c r="AJ224" s="22"/>
    </row>
    <row r="225" spans="1:36" x14ac:dyDescent="0.2">
      <c r="A225" s="15" t="str">
        <f t="shared" si="2"/>
        <v>Hopfen-P2O5-mittel-A</v>
      </c>
      <c r="B225" s="15" t="s">
        <v>3415</v>
      </c>
      <c r="C225" s="15" t="s">
        <v>3807</v>
      </c>
      <c r="D225" s="15" t="s">
        <v>3453</v>
      </c>
      <c r="E225" s="15" t="s">
        <v>3330</v>
      </c>
      <c r="F225" s="15">
        <v>5</v>
      </c>
      <c r="G225" s="1805"/>
      <c r="H225" s="22"/>
      <c r="I225" s="22"/>
      <c r="J225" s="22"/>
      <c r="K225" s="1805"/>
      <c r="L225" s="1805"/>
      <c r="M225" s="1805"/>
      <c r="N225" s="1805"/>
      <c r="O225" s="1805"/>
      <c r="P225" s="1805"/>
      <c r="Q225" s="1805"/>
      <c r="R225" s="1805"/>
      <c r="S225" s="1805"/>
      <c r="T225" s="1805"/>
      <c r="U225" s="1805"/>
      <c r="V225" s="1805"/>
      <c r="W225" s="1805"/>
      <c r="X225" s="1805"/>
      <c r="Y225" s="1805"/>
      <c r="Z225" s="1805"/>
      <c r="AA225" s="1805"/>
      <c r="AB225" s="1805"/>
      <c r="AC225" s="1805"/>
      <c r="AD225" s="1805"/>
      <c r="AE225" s="22"/>
      <c r="AF225" s="22"/>
      <c r="AG225" s="22"/>
      <c r="AH225" s="22"/>
      <c r="AI225" s="22"/>
      <c r="AJ225" s="22"/>
    </row>
    <row r="226" spans="1:36" x14ac:dyDescent="0.2">
      <c r="A226" s="15" t="str">
        <f t="shared" si="2"/>
        <v>Hopfen-P2O5-mittel-B</v>
      </c>
      <c r="B226" s="15" t="s">
        <v>3415</v>
      </c>
      <c r="C226" s="15" t="s">
        <v>3807</v>
      </c>
      <c r="D226" s="15" t="s">
        <v>3453</v>
      </c>
      <c r="E226" s="15" t="s">
        <v>3335</v>
      </c>
      <c r="F226" s="15">
        <v>9</v>
      </c>
      <c r="G226" s="1805"/>
      <c r="H226" s="22"/>
      <c r="I226" s="22"/>
      <c r="J226" s="22"/>
      <c r="K226" s="1805"/>
      <c r="L226" s="1805"/>
      <c r="M226" s="1805"/>
      <c r="N226" s="1805"/>
      <c r="O226" s="1805"/>
      <c r="P226" s="1805"/>
      <c r="Q226" s="1805"/>
      <c r="R226" s="1805"/>
      <c r="S226" s="1805"/>
      <c r="T226" s="1805"/>
      <c r="U226" s="1805"/>
      <c r="V226" s="1805"/>
      <c r="W226" s="1805"/>
      <c r="X226" s="1805"/>
      <c r="Y226" s="1805"/>
      <c r="Z226" s="1805"/>
      <c r="AA226" s="1805"/>
      <c r="AB226" s="1805"/>
      <c r="AC226" s="1805"/>
      <c r="AD226" s="1805"/>
      <c r="AE226" s="22"/>
      <c r="AF226" s="22"/>
      <c r="AG226" s="22"/>
      <c r="AH226" s="22"/>
      <c r="AI226" s="22"/>
      <c r="AJ226" s="22"/>
    </row>
    <row r="227" spans="1:36" x14ac:dyDescent="0.2">
      <c r="A227" s="15" t="str">
        <f t="shared" si="2"/>
        <v>Hopfen-P2O5-mittel-C</v>
      </c>
      <c r="B227" s="15" t="s">
        <v>3415</v>
      </c>
      <c r="C227" s="15" t="s">
        <v>3807</v>
      </c>
      <c r="D227" s="15" t="s">
        <v>3453</v>
      </c>
      <c r="E227" s="15" t="s">
        <v>3336</v>
      </c>
      <c r="F227" s="15">
        <v>20</v>
      </c>
      <c r="G227" s="1805"/>
      <c r="H227" s="22"/>
      <c r="I227" s="22"/>
      <c r="J227" s="22"/>
      <c r="K227" s="1805"/>
      <c r="L227" s="1805"/>
      <c r="M227" s="1805"/>
      <c r="N227" s="1805"/>
      <c r="O227" s="1805"/>
      <c r="P227" s="1805"/>
      <c r="Q227" s="1805"/>
      <c r="R227" s="1805"/>
      <c r="S227" s="1805"/>
      <c r="T227" s="1805"/>
      <c r="U227" s="1805"/>
      <c r="V227" s="1805"/>
      <c r="W227" s="1805"/>
      <c r="X227" s="1805"/>
      <c r="Y227" s="1805"/>
      <c r="Z227" s="1805"/>
      <c r="AA227" s="1805"/>
      <c r="AB227" s="1805"/>
      <c r="AC227" s="1805"/>
      <c r="AD227" s="1805"/>
      <c r="AE227" s="22"/>
      <c r="AF227" s="22"/>
      <c r="AG227" s="22"/>
      <c r="AH227" s="22"/>
      <c r="AI227" s="22"/>
      <c r="AJ227" s="22"/>
    </row>
    <row r="228" spans="1:36" x14ac:dyDescent="0.2">
      <c r="A228" s="15" t="str">
        <f t="shared" si="2"/>
        <v>Hopfen-P2O5-mittel-D</v>
      </c>
      <c r="B228" s="15" t="s">
        <v>3415</v>
      </c>
      <c r="C228" s="15" t="s">
        <v>3807</v>
      </c>
      <c r="D228" s="15" t="s">
        <v>3453</v>
      </c>
      <c r="E228" s="15" t="s">
        <v>3337</v>
      </c>
      <c r="F228" s="15">
        <v>34</v>
      </c>
      <c r="G228" s="1805"/>
      <c r="H228" s="22"/>
      <c r="I228" s="22"/>
      <c r="J228" s="22"/>
      <c r="K228" s="1805"/>
      <c r="L228" s="1805"/>
      <c r="M228" s="1805"/>
      <c r="N228" s="1805"/>
      <c r="O228" s="1805"/>
      <c r="P228" s="1805"/>
      <c r="Q228" s="1805"/>
      <c r="R228" s="1805"/>
      <c r="S228" s="1805"/>
      <c r="T228" s="1805"/>
      <c r="U228" s="1805"/>
      <c r="V228" s="1805"/>
      <c r="W228" s="1805"/>
      <c r="X228" s="1805"/>
      <c r="Y228" s="1805"/>
      <c r="Z228" s="1805"/>
      <c r="AA228" s="1805"/>
      <c r="AB228" s="1805"/>
      <c r="AC228" s="1805"/>
      <c r="AD228" s="1805"/>
      <c r="AE228" s="22"/>
      <c r="AF228" s="22"/>
      <c r="AG228" s="22"/>
      <c r="AH228" s="22"/>
      <c r="AI228" s="22"/>
      <c r="AJ228" s="22"/>
    </row>
    <row r="229" spans="1:36" x14ac:dyDescent="0.2">
      <c r="A229" s="15" t="str">
        <f t="shared" si="2"/>
        <v>Hopfen-P2O5-Moor-A</v>
      </c>
      <c r="B229" s="15" t="s">
        <v>3415</v>
      </c>
      <c r="C229" s="15" t="s">
        <v>3807</v>
      </c>
      <c r="D229" s="15" t="s">
        <v>3369</v>
      </c>
      <c r="E229" s="15" t="s">
        <v>3330</v>
      </c>
      <c r="F229" s="15">
        <v>10</v>
      </c>
      <c r="G229" s="1805"/>
      <c r="H229" s="22"/>
      <c r="I229" s="22"/>
      <c r="J229" s="22"/>
      <c r="K229" s="1805"/>
      <c r="L229" s="1805"/>
      <c r="M229" s="1805"/>
      <c r="N229" s="1805"/>
      <c r="O229" s="1805"/>
      <c r="P229" s="1805"/>
      <c r="Q229" s="1805"/>
      <c r="R229" s="1805"/>
      <c r="S229" s="1805"/>
      <c r="T229" s="1805"/>
      <c r="U229" s="1805"/>
      <c r="V229" s="1805"/>
      <c r="W229" s="1805"/>
      <c r="X229" s="1805"/>
      <c r="Y229" s="1805"/>
      <c r="Z229" s="1805"/>
      <c r="AA229" s="1805"/>
      <c r="AB229" s="1805"/>
      <c r="AC229" s="1805"/>
      <c r="AD229" s="1805"/>
      <c r="AE229" s="22"/>
      <c r="AF229" s="22"/>
      <c r="AG229" s="22"/>
      <c r="AH229" s="22"/>
      <c r="AI229" s="22"/>
      <c r="AJ229" s="22"/>
    </row>
    <row r="230" spans="1:36" x14ac:dyDescent="0.2">
      <c r="A230" s="15" t="str">
        <f t="shared" si="2"/>
        <v>Hopfen-P2O5-Moor-B</v>
      </c>
      <c r="B230" s="15" t="s">
        <v>3415</v>
      </c>
      <c r="C230" s="15" t="s">
        <v>3807</v>
      </c>
      <c r="D230" s="15" t="s">
        <v>3369</v>
      </c>
      <c r="E230" s="15" t="s">
        <v>3335</v>
      </c>
      <c r="F230" s="15">
        <v>20</v>
      </c>
      <c r="G230" s="1805"/>
      <c r="H230" s="22"/>
      <c r="I230" s="22"/>
      <c r="J230" s="22"/>
      <c r="K230" s="1805"/>
      <c r="L230" s="1805"/>
      <c r="M230" s="1805"/>
      <c r="N230" s="1805"/>
      <c r="O230" s="1805"/>
      <c r="P230" s="1805"/>
      <c r="Q230" s="1805"/>
      <c r="R230" s="1805"/>
      <c r="S230" s="1805"/>
      <c r="T230" s="1805"/>
      <c r="U230" s="1805"/>
      <c r="V230" s="1805"/>
      <c r="W230" s="1805"/>
      <c r="X230" s="1805"/>
      <c r="Y230" s="1805"/>
      <c r="Z230" s="1805"/>
      <c r="AA230" s="1805"/>
      <c r="AB230" s="1805"/>
      <c r="AC230" s="1805"/>
      <c r="AD230" s="1805"/>
      <c r="AE230" s="22"/>
      <c r="AF230" s="22"/>
      <c r="AG230" s="22"/>
      <c r="AH230" s="22"/>
      <c r="AI230" s="22"/>
      <c r="AJ230" s="22"/>
    </row>
    <row r="231" spans="1:36" x14ac:dyDescent="0.2">
      <c r="A231" s="15" t="str">
        <f t="shared" si="2"/>
        <v>Hopfen-P2O5-Moor-C</v>
      </c>
      <c r="B231" s="15" t="s">
        <v>3415</v>
      </c>
      <c r="C231" s="15" t="s">
        <v>3807</v>
      </c>
      <c r="D231" s="15" t="s">
        <v>3369</v>
      </c>
      <c r="E231" s="15" t="s">
        <v>3336</v>
      </c>
      <c r="F231" s="15">
        <v>30</v>
      </c>
      <c r="G231" s="1805"/>
      <c r="H231" s="22"/>
      <c r="I231" s="22"/>
      <c r="J231" s="22"/>
      <c r="K231" s="1805"/>
      <c r="L231" s="1805"/>
      <c r="M231" s="1805"/>
      <c r="N231" s="1805"/>
      <c r="O231" s="1805"/>
      <c r="P231" s="1805"/>
      <c r="Q231" s="1805"/>
      <c r="R231" s="1805"/>
      <c r="S231" s="1805"/>
      <c r="T231" s="1805"/>
      <c r="U231" s="1805"/>
      <c r="V231" s="1805"/>
      <c r="W231" s="1805"/>
      <c r="X231" s="1805"/>
      <c r="Y231" s="1805"/>
      <c r="Z231" s="1805"/>
      <c r="AA231" s="1805"/>
      <c r="AB231" s="1805"/>
      <c r="AC231" s="1805"/>
      <c r="AD231" s="1805"/>
      <c r="AE231" s="22"/>
      <c r="AF231" s="22"/>
      <c r="AG231" s="22"/>
      <c r="AH231" s="22"/>
      <c r="AI231" s="22"/>
      <c r="AJ231" s="22"/>
    </row>
    <row r="232" spans="1:36" x14ac:dyDescent="0.2">
      <c r="A232" s="15" t="str">
        <f t="shared" si="2"/>
        <v>Hopfen-P2O5-Moor-D</v>
      </c>
      <c r="B232" s="15" t="s">
        <v>3415</v>
      </c>
      <c r="C232" s="15" t="s">
        <v>3807</v>
      </c>
      <c r="D232" s="15" t="s">
        <v>3369</v>
      </c>
      <c r="E232" s="15" t="s">
        <v>3337</v>
      </c>
      <c r="F232" s="15">
        <v>40</v>
      </c>
      <c r="G232" s="1805"/>
      <c r="H232" s="22"/>
      <c r="I232" s="22"/>
      <c r="J232" s="22"/>
      <c r="K232" s="1805"/>
      <c r="L232" s="1805"/>
      <c r="M232" s="1805"/>
      <c r="N232" s="1805"/>
      <c r="O232" s="1805"/>
      <c r="P232" s="1805"/>
      <c r="Q232" s="1805"/>
      <c r="R232" s="1805"/>
      <c r="S232" s="1805"/>
      <c r="T232" s="1805"/>
      <c r="U232" s="1805"/>
      <c r="V232" s="1805"/>
      <c r="W232" s="1805"/>
      <c r="X232" s="1805"/>
      <c r="Y232" s="1805"/>
      <c r="Z232" s="1805"/>
      <c r="AA232" s="1805"/>
      <c r="AB232" s="1805"/>
      <c r="AC232" s="1805"/>
      <c r="AD232" s="1805"/>
      <c r="AE232" s="22"/>
      <c r="AF232" s="22"/>
      <c r="AG232" s="22"/>
      <c r="AH232" s="22"/>
      <c r="AI232" s="22"/>
      <c r="AJ232" s="22"/>
    </row>
    <row r="233" spans="1:36" x14ac:dyDescent="0.2">
      <c r="A233" s="15" t="str">
        <f t="shared" si="2"/>
        <v>Hopfen-P2O5-schwer-A</v>
      </c>
      <c r="B233" s="15" t="s">
        <v>3415</v>
      </c>
      <c r="C233" s="15" t="s">
        <v>3807</v>
      </c>
      <c r="D233" s="15" t="s">
        <v>3640</v>
      </c>
      <c r="E233" s="15" t="s">
        <v>3330</v>
      </c>
      <c r="F233" s="15">
        <v>5</v>
      </c>
      <c r="G233" s="1805"/>
      <c r="H233" s="22"/>
      <c r="I233" s="22"/>
      <c r="J233" s="22"/>
      <c r="K233" s="1805"/>
      <c r="L233" s="1805"/>
      <c r="M233" s="1805"/>
      <c r="N233" s="1805"/>
      <c r="O233" s="1805"/>
      <c r="P233" s="1805"/>
      <c r="Q233" s="1805"/>
      <c r="R233" s="1805"/>
      <c r="S233" s="1805"/>
      <c r="T233" s="1805"/>
      <c r="U233" s="1805"/>
      <c r="V233" s="1805"/>
      <c r="W233" s="1805"/>
      <c r="X233" s="1805"/>
      <c r="Y233" s="1805"/>
      <c r="Z233" s="1805"/>
      <c r="AA233" s="1805"/>
      <c r="AB233" s="1805"/>
      <c r="AC233" s="1805"/>
      <c r="AD233" s="1805"/>
      <c r="AE233" s="22"/>
      <c r="AF233" s="22"/>
      <c r="AG233" s="22"/>
      <c r="AH233" s="22"/>
      <c r="AI233" s="22"/>
      <c r="AJ233" s="22"/>
    </row>
    <row r="234" spans="1:36" x14ac:dyDescent="0.2">
      <c r="A234" s="15" t="str">
        <f t="shared" si="2"/>
        <v>Hopfen-P2O5-schwer-B</v>
      </c>
      <c r="B234" s="15" t="s">
        <v>3415</v>
      </c>
      <c r="C234" s="15" t="s">
        <v>3807</v>
      </c>
      <c r="D234" s="15" t="s">
        <v>3640</v>
      </c>
      <c r="E234" s="15" t="s">
        <v>3335</v>
      </c>
      <c r="F234" s="15">
        <v>9</v>
      </c>
      <c r="G234" s="1805"/>
      <c r="H234" s="22"/>
      <c r="I234" s="22"/>
      <c r="J234" s="22"/>
      <c r="K234" s="1805"/>
      <c r="L234" s="1805"/>
      <c r="M234" s="1805"/>
      <c r="N234" s="1805"/>
      <c r="O234" s="1805"/>
      <c r="P234" s="1805"/>
      <c r="Q234" s="1805"/>
      <c r="R234" s="1805"/>
      <c r="S234" s="1805"/>
      <c r="T234" s="1805"/>
      <c r="U234" s="1805"/>
      <c r="V234" s="1805"/>
      <c r="W234" s="1805"/>
      <c r="X234" s="1805"/>
      <c r="Y234" s="1805"/>
      <c r="Z234" s="1805"/>
      <c r="AA234" s="1805"/>
      <c r="AB234" s="1805"/>
      <c r="AC234" s="1805"/>
      <c r="AD234" s="1805"/>
      <c r="AE234" s="22"/>
      <c r="AF234" s="22"/>
      <c r="AG234" s="22"/>
      <c r="AH234" s="22"/>
      <c r="AI234" s="22"/>
      <c r="AJ234" s="22"/>
    </row>
    <row r="235" spans="1:36" x14ac:dyDescent="0.2">
      <c r="A235" s="15" t="str">
        <f t="shared" si="2"/>
        <v>Hopfen-P2O5-schwer-C</v>
      </c>
      <c r="B235" s="15" t="s">
        <v>3415</v>
      </c>
      <c r="C235" s="15" t="s">
        <v>3807</v>
      </c>
      <c r="D235" s="15" t="s">
        <v>3640</v>
      </c>
      <c r="E235" s="15" t="s">
        <v>3336</v>
      </c>
      <c r="F235" s="15">
        <v>20</v>
      </c>
      <c r="G235" s="1805"/>
      <c r="H235" s="22"/>
      <c r="I235" s="22"/>
      <c r="J235" s="22"/>
      <c r="K235" s="1805"/>
      <c r="L235" s="1805"/>
      <c r="M235" s="1805"/>
      <c r="N235" s="1805"/>
      <c r="O235" s="1805"/>
      <c r="P235" s="1805"/>
      <c r="Q235" s="1805"/>
      <c r="R235" s="1805"/>
      <c r="S235" s="1805"/>
      <c r="T235" s="1805"/>
      <c r="U235" s="1805"/>
      <c r="V235" s="1805"/>
      <c r="W235" s="1805"/>
      <c r="X235" s="1805"/>
      <c r="Y235" s="1805"/>
      <c r="Z235" s="1805"/>
      <c r="AA235" s="1805"/>
      <c r="AB235" s="1805"/>
      <c r="AC235" s="1805"/>
      <c r="AD235" s="1805"/>
      <c r="AE235" s="22"/>
      <c r="AF235" s="22"/>
      <c r="AG235" s="22"/>
      <c r="AH235" s="22"/>
      <c r="AI235" s="22"/>
      <c r="AJ235" s="22"/>
    </row>
    <row r="236" spans="1:36" x14ac:dyDescent="0.2">
      <c r="A236" s="15" t="str">
        <f t="shared" si="2"/>
        <v>Hopfen-P2O5-schwer-D</v>
      </c>
      <c r="B236" s="15" t="s">
        <v>3415</v>
      </c>
      <c r="C236" s="15" t="s">
        <v>3807</v>
      </c>
      <c r="D236" s="15" t="s">
        <v>3640</v>
      </c>
      <c r="E236" s="15" t="s">
        <v>3337</v>
      </c>
      <c r="F236" s="15">
        <v>34</v>
      </c>
      <c r="G236" s="1805"/>
      <c r="H236" s="22"/>
      <c r="I236" s="22"/>
      <c r="J236" s="22"/>
      <c r="K236" s="1805"/>
      <c r="L236" s="1805"/>
      <c r="M236" s="1805"/>
      <c r="N236" s="1805"/>
      <c r="O236" s="1805"/>
      <c r="P236" s="1805"/>
      <c r="Q236" s="1805"/>
      <c r="R236" s="1805"/>
      <c r="S236" s="1805"/>
      <c r="T236" s="1805"/>
      <c r="U236" s="1805"/>
      <c r="V236" s="1805"/>
      <c r="W236" s="1805"/>
      <c r="X236" s="1805"/>
      <c r="Y236" s="1805"/>
      <c r="Z236" s="1805"/>
      <c r="AA236" s="1805"/>
      <c r="AB236" s="1805"/>
      <c r="AC236" s="1805"/>
      <c r="AD236" s="1805"/>
      <c r="AE236" s="22"/>
      <c r="AF236" s="22"/>
      <c r="AG236" s="22"/>
      <c r="AH236" s="22"/>
      <c r="AI236" s="22"/>
      <c r="AJ236" s="22"/>
    </row>
    <row r="237" spans="1:36" x14ac:dyDescent="0.2">
      <c r="A237" s="15" t="str">
        <f t="shared" ref="A237:A284" si="3">B237&amp;"-"&amp;C237&amp;"-"&amp;D237&amp;"-"&amp;E237</f>
        <v>Obst-P2O5-leicht-A</v>
      </c>
      <c r="B237" s="15" t="s">
        <v>3650</v>
      </c>
      <c r="C237" s="15" t="s">
        <v>3807</v>
      </c>
      <c r="D237" s="15" t="s">
        <v>3635</v>
      </c>
      <c r="E237" s="15" t="s">
        <v>3330</v>
      </c>
      <c r="F237" s="15">
        <v>9</v>
      </c>
      <c r="G237" s="1805"/>
      <c r="H237" s="22"/>
      <c r="I237" s="22"/>
      <c r="J237" s="22"/>
      <c r="K237" s="1805"/>
      <c r="L237" s="1805"/>
      <c r="M237" s="1805"/>
      <c r="N237" s="1805"/>
      <c r="O237" s="1805"/>
      <c r="P237" s="1805"/>
      <c r="Q237" s="1805"/>
      <c r="R237" s="1805"/>
      <c r="S237" s="1805"/>
      <c r="T237" s="1805"/>
      <c r="U237" s="1805"/>
      <c r="V237" s="1805"/>
      <c r="W237" s="1805"/>
      <c r="X237" s="1805"/>
      <c r="Y237" s="1805"/>
      <c r="Z237" s="1805"/>
      <c r="AA237" s="1805"/>
      <c r="AB237" s="1805"/>
      <c r="AC237" s="1805"/>
      <c r="AD237" s="1805"/>
      <c r="AE237" s="22"/>
      <c r="AF237" s="22"/>
      <c r="AG237" s="22"/>
      <c r="AH237" s="22"/>
      <c r="AI237" s="22"/>
      <c r="AJ237" s="22"/>
    </row>
    <row r="238" spans="1:36" x14ac:dyDescent="0.2">
      <c r="A238" s="15" t="str">
        <f t="shared" si="3"/>
        <v>Obst-P2O5-leicht-B</v>
      </c>
      <c r="B238" s="15" t="s">
        <v>3650</v>
      </c>
      <c r="C238" s="15" t="s">
        <v>3807</v>
      </c>
      <c r="D238" s="15" t="s">
        <v>3635</v>
      </c>
      <c r="E238" s="15" t="s">
        <v>3335</v>
      </c>
      <c r="F238" s="15">
        <v>0</v>
      </c>
      <c r="G238" s="1805"/>
      <c r="H238" s="22"/>
      <c r="I238" s="22"/>
      <c r="J238" s="22"/>
      <c r="K238" s="1805"/>
      <c r="L238" s="1805"/>
      <c r="M238" s="1805"/>
      <c r="N238" s="1805"/>
      <c r="O238" s="1805"/>
      <c r="P238" s="1805"/>
      <c r="Q238" s="1805"/>
      <c r="R238" s="1805"/>
      <c r="S238" s="1805"/>
      <c r="T238" s="1805"/>
      <c r="U238" s="1805"/>
      <c r="V238" s="1805"/>
      <c r="W238" s="1805"/>
      <c r="X238" s="1805"/>
      <c r="Y238" s="1805"/>
      <c r="Z238" s="1805"/>
      <c r="AA238" s="1805"/>
      <c r="AB238" s="1805"/>
      <c r="AC238" s="1805"/>
      <c r="AD238" s="1805"/>
      <c r="AE238" s="22"/>
      <c r="AF238" s="22"/>
      <c r="AG238" s="22"/>
      <c r="AH238" s="22"/>
      <c r="AI238" s="22"/>
      <c r="AJ238" s="22"/>
    </row>
    <row r="239" spans="1:36" x14ac:dyDescent="0.2">
      <c r="A239" s="15" t="str">
        <f t="shared" si="3"/>
        <v>Obst-P2O5-leicht-C</v>
      </c>
      <c r="B239" s="15" t="s">
        <v>3650</v>
      </c>
      <c r="C239" s="15" t="s">
        <v>3807</v>
      </c>
      <c r="D239" s="15" t="s">
        <v>3635</v>
      </c>
      <c r="E239" s="15" t="s">
        <v>3336</v>
      </c>
      <c r="F239" s="15">
        <v>15</v>
      </c>
      <c r="G239" s="1805"/>
      <c r="H239" s="22"/>
      <c r="I239" s="22"/>
      <c r="J239" s="22"/>
      <c r="K239" s="1805"/>
      <c r="L239" s="1805"/>
      <c r="M239" s="1805"/>
      <c r="N239" s="1805"/>
      <c r="O239" s="1805"/>
      <c r="P239" s="1805"/>
      <c r="Q239" s="1805"/>
      <c r="R239" s="1805"/>
      <c r="S239" s="1805"/>
      <c r="T239" s="1805"/>
      <c r="U239" s="1805"/>
      <c r="V239" s="1805"/>
      <c r="W239" s="1805"/>
      <c r="X239" s="1805"/>
      <c r="Y239" s="1805"/>
      <c r="Z239" s="1805"/>
      <c r="AA239" s="1805"/>
      <c r="AB239" s="1805"/>
      <c r="AC239" s="1805"/>
      <c r="AD239" s="1805"/>
      <c r="AE239" s="22"/>
      <c r="AF239" s="22"/>
      <c r="AG239" s="22"/>
      <c r="AH239" s="22"/>
      <c r="AI239" s="22"/>
      <c r="AJ239" s="22"/>
    </row>
    <row r="240" spans="1:36" x14ac:dyDescent="0.2">
      <c r="A240" s="15" t="str">
        <f t="shared" si="3"/>
        <v>Obst-P2O5-leicht-D</v>
      </c>
      <c r="B240" s="15" t="s">
        <v>3650</v>
      </c>
      <c r="C240" s="15" t="s">
        <v>3807</v>
      </c>
      <c r="D240" s="15" t="s">
        <v>3635</v>
      </c>
      <c r="E240" s="15" t="s">
        <v>3337</v>
      </c>
      <c r="F240" s="15">
        <v>0</v>
      </c>
      <c r="G240" s="1805"/>
      <c r="H240" s="22"/>
      <c r="I240" s="22"/>
      <c r="J240" s="22"/>
      <c r="K240" s="1805"/>
      <c r="L240" s="1805"/>
      <c r="M240" s="1805"/>
      <c r="N240" s="1805"/>
      <c r="O240" s="1805"/>
      <c r="P240" s="1805"/>
      <c r="Q240" s="1805"/>
      <c r="R240" s="1805"/>
      <c r="S240" s="1805"/>
      <c r="T240" s="1805"/>
      <c r="U240" s="1805"/>
      <c r="V240" s="1805"/>
      <c r="W240" s="1805"/>
      <c r="X240" s="1805"/>
      <c r="Y240" s="1805"/>
      <c r="Z240" s="1805"/>
      <c r="AA240" s="1805"/>
      <c r="AB240" s="1805"/>
      <c r="AC240" s="1805"/>
      <c r="AD240" s="1805"/>
      <c r="AE240" s="22"/>
      <c r="AF240" s="22"/>
      <c r="AG240" s="22"/>
      <c r="AH240" s="22"/>
      <c r="AI240" s="22"/>
      <c r="AJ240" s="22"/>
    </row>
    <row r="241" spans="1:36" x14ac:dyDescent="0.2">
      <c r="A241" s="15" t="str">
        <f t="shared" si="3"/>
        <v>Obst-P2O5-mittel-A</v>
      </c>
      <c r="B241" s="15" t="s">
        <v>3650</v>
      </c>
      <c r="C241" s="15" t="s">
        <v>3807</v>
      </c>
      <c r="D241" s="15" t="s">
        <v>3453</v>
      </c>
      <c r="E241" s="15" t="s">
        <v>3330</v>
      </c>
      <c r="F241" s="15">
        <v>9</v>
      </c>
      <c r="G241" s="1805"/>
      <c r="H241" s="22"/>
      <c r="I241" s="22"/>
      <c r="J241" s="22"/>
      <c r="K241" s="1805"/>
      <c r="L241" s="1805"/>
      <c r="M241" s="1805"/>
      <c r="N241" s="1805"/>
      <c r="O241" s="1805"/>
      <c r="P241" s="1805"/>
      <c r="Q241" s="1805"/>
      <c r="R241" s="1805"/>
      <c r="S241" s="1805"/>
      <c r="T241" s="1805"/>
      <c r="U241" s="1805"/>
      <c r="V241" s="1805"/>
      <c r="W241" s="1805"/>
      <c r="X241" s="1805"/>
      <c r="Y241" s="1805"/>
      <c r="Z241" s="1805"/>
      <c r="AA241" s="1805"/>
      <c r="AB241" s="1805"/>
      <c r="AC241" s="1805"/>
      <c r="AD241" s="1805"/>
      <c r="AE241" s="22"/>
      <c r="AF241" s="22"/>
      <c r="AG241" s="22"/>
      <c r="AH241" s="22"/>
      <c r="AI241" s="22"/>
      <c r="AJ241" s="22"/>
    </row>
    <row r="242" spans="1:36" x14ac:dyDescent="0.2">
      <c r="A242" s="15" t="str">
        <f t="shared" si="3"/>
        <v>Obst-P2O5-mittel-B</v>
      </c>
      <c r="B242" s="15" t="s">
        <v>3650</v>
      </c>
      <c r="C242" s="15" t="s">
        <v>3807</v>
      </c>
      <c r="D242" s="15" t="s">
        <v>3453</v>
      </c>
      <c r="E242" s="15" t="s">
        <v>3335</v>
      </c>
      <c r="F242" s="15">
        <v>0</v>
      </c>
      <c r="G242" s="1805"/>
      <c r="H242" s="22"/>
      <c r="I242" s="22"/>
      <c r="J242" s="22"/>
      <c r="K242" s="1805"/>
      <c r="L242" s="1805"/>
      <c r="M242" s="1805"/>
      <c r="N242" s="1805"/>
      <c r="O242" s="1805"/>
      <c r="P242" s="1805"/>
      <c r="Q242" s="1805"/>
      <c r="R242" s="1805"/>
      <c r="S242" s="1805"/>
      <c r="T242" s="1805"/>
      <c r="U242" s="1805"/>
      <c r="V242" s="1805"/>
      <c r="W242" s="1805"/>
      <c r="X242" s="1805"/>
      <c r="Y242" s="1805"/>
      <c r="Z242" s="1805"/>
      <c r="AA242" s="1805"/>
      <c r="AB242" s="1805"/>
      <c r="AC242" s="1805"/>
      <c r="AD242" s="1805"/>
      <c r="AE242" s="22"/>
      <c r="AF242" s="22"/>
      <c r="AG242" s="22"/>
      <c r="AH242" s="22"/>
      <c r="AI242" s="22"/>
      <c r="AJ242" s="22"/>
    </row>
    <row r="243" spans="1:36" x14ac:dyDescent="0.2">
      <c r="A243" s="15" t="str">
        <f t="shared" si="3"/>
        <v>Obst-P2O5-mittel-C</v>
      </c>
      <c r="B243" s="15" t="s">
        <v>3650</v>
      </c>
      <c r="C243" s="15" t="s">
        <v>3807</v>
      </c>
      <c r="D243" s="15" t="s">
        <v>3453</v>
      </c>
      <c r="E243" s="15" t="s">
        <v>3336</v>
      </c>
      <c r="F243" s="15">
        <v>15</v>
      </c>
      <c r="G243" s="1805"/>
      <c r="H243" s="22"/>
      <c r="I243" s="22"/>
      <c r="J243" s="22"/>
      <c r="K243" s="1805"/>
      <c r="L243" s="1805"/>
      <c r="M243" s="1805"/>
      <c r="N243" s="1805"/>
      <c r="O243" s="1805"/>
      <c r="P243" s="1805"/>
      <c r="Q243" s="1805"/>
      <c r="R243" s="1805"/>
      <c r="S243" s="1805"/>
      <c r="T243" s="1805"/>
      <c r="U243" s="1805"/>
      <c r="V243" s="1805"/>
      <c r="W243" s="1805"/>
      <c r="X243" s="1805"/>
      <c r="Y243" s="1805"/>
      <c r="Z243" s="1805"/>
      <c r="AA243" s="1805"/>
      <c r="AB243" s="1805"/>
      <c r="AC243" s="1805"/>
      <c r="AD243" s="1805"/>
      <c r="AE243" s="22"/>
      <c r="AF243" s="22"/>
      <c r="AG243" s="22"/>
      <c r="AH243" s="22"/>
      <c r="AI243" s="22"/>
      <c r="AJ243" s="22"/>
    </row>
    <row r="244" spans="1:36" x14ac:dyDescent="0.2">
      <c r="A244" s="15" t="str">
        <f t="shared" si="3"/>
        <v>Obst-P2O5-mittel-D</v>
      </c>
      <c r="B244" s="15" t="s">
        <v>3650</v>
      </c>
      <c r="C244" s="15" t="s">
        <v>3807</v>
      </c>
      <c r="D244" s="15" t="s">
        <v>3453</v>
      </c>
      <c r="E244" s="15" t="s">
        <v>3337</v>
      </c>
      <c r="F244" s="15">
        <v>0</v>
      </c>
      <c r="G244" s="1805"/>
      <c r="H244" s="22"/>
      <c r="I244" s="22"/>
      <c r="J244" s="22"/>
      <c r="K244" s="1805"/>
      <c r="L244" s="1805"/>
      <c r="M244" s="1805"/>
      <c r="N244" s="1805"/>
      <c r="O244" s="1805"/>
      <c r="P244" s="1805"/>
      <c r="Q244" s="1805"/>
      <c r="R244" s="1805"/>
      <c r="S244" s="1805"/>
      <c r="T244" s="1805"/>
      <c r="U244" s="1805"/>
      <c r="V244" s="1805"/>
      <c r="W244" s="1805"/>
      <c r="X244" s="1805"/>
      <c r="Y244" s="1805"/>
      <c r="Z244" s="1805"/>
      <c r="AA244" s="1805"/>
      <c r="AB244" s="1805"/>
      <c r="AC244" s="1805"/>
      <c r="AD244" s="1805"/>
      <c r="AE244" s="22"/>
      <c r="AF244" s="22"/>
      <c r="AG244" s="22"/>
      <c r="AH244" s="22"/>
      <c r="AI244" s="22"/>
      <c r="AJ244" s="22"/>
    </row>
    <row r="245" spans="1:36" x14ac:dyDescent="0.2">
      <c r="A245" s="15" t="str">
        <f t="shared" si="3"/>
        <v>Obst-P2O5-Moor-A</v>
      </c>
      <c r="B245" s="4" t="s">
        <v>3650</v>
      </c>
      <c r="C245" s="15" t="s">
        <v>3807</v>
      </c>
      <c r="D245" s="15" t="s">
        <v>3369</v>
      </c>
      <c r="E245" s="15" t="s">
        <v>3330</v>
      </c>
      <c r="F245" s="15">
        <v>10</v>
      </c>
      <c r="G245" s="1805"/>
      <c r="H245" s="22"/>
      <c r="I245" s="22"/>
      <c r="J245" s="22"/>
      <c r="K245" s="1805"/>
      <c r="L245" s="1805"/>
      <c r="M245" s="1805"/>
      <c r="N245" s="1805"/>
      <c r="O245" s="1805"/>
      <c r="P245" s="1805"/>
      <c r="Q245" s="1805"/>
      <c r="R245" s="1805"/>
      <c r="S245" s="1805"/>
      <c r="T245" s="1805"/>
      <c r="U245" s="1805"/>
      <c r="V245" s="1805"/>
      <c r="W245" s="1805"/>
      <c r="X245" s="1805"/>
      <c r="Y245" s="1805"/>
      <c r="Z245" s="1805"/>
      <c r="AA245" s="1805"/>
      <c r="AB245" s="1805"/>
      <c r="AC245" s="1805"/>
      <c r="AD245" s="1805"/>
      <c r="AE245" s="22"/>
      <c r="AF245" s="22"/>
      <c r="AG245" s="22"/>
      <c r="AH245" s="22"/>
      <c r="AI245" s="22"/>
      <c r="AJ245" s="22"/>
    </row>
    <row r="246" spans="1:36" x14ac:dyDescent="0.2">
      <c r="A246" s="15" t="str">
        <f t="shared" si="3"/>
        <v>Obst-P2O5-Moor-B</v>
      </c>
      <c r="B246" s="4" t="s">
        <v>3650</v>
      </c>
      <c r="C246" s="15" t="s">
        <v>3807</v>
      </c>
      <c r="D246" s="15" t="s">
        <v>3369</v>
      </c>
      <c r="E246" s="15" t="s">
        <v>3335</v>
      </c>
      <c r="F246" s="15">
        <v>20</v>
      </c>
      <c r="G246" s="1805"/>
      <c r="H246" s="22"/>
      <c r="I246" s="22"/>
      <c r="J246" s="22"/>
      <c r="K246" s="1805"/>
      <c r="L246" s="1805"/>
      <c r="M246" s="1805"/>
      <c r="N246" s="1805"/>
      <c r="O246" s="1805"/>
      <c r="P246" s="1805"/>
      <c r="Q246" s="1805"/>
      <c r="R246" s="1805"/>
      <c r="S246" s="1805"/>
      <c r="T246" s="1805"/>
      <c r="U246" s="1805"/>
      <c r="V246" s="1805"/>
      <c r="W246" s="1805"/>
      <c r="X246" s="1805"/>
      <c r="Y246" s="1805"/>
      <c r="Z246" s="1805"/>
      <c r="AA246" s="1805"/>
      <c r="AB246" s="1805"/>
      <c r="AC246" s="1805"/>
      <c r="AD246" s="1805"/>
      <c r="AE246" s="22"/>
      <c r="AF246" s="22"/>
      <c r="AG246" s="22"/>
      <c r="AH246" s="22"/>
      <c r="AI246" s="22"/>
      <c r="AJ246" s="22"/>
    </row>
    <row r="247" spans="1:36" x14ac:dyDescent="0.2">
      <c r="A247" s="15" t="str">
        <f t="shared" si="3"/>
        <v>Obst-P2O5-Moor-C</v>
      </c>
      <c r="B247" s="4" t="s">
        <v>3650</v>
      </c>
      <c r="C247" s="15" t="s">
        <v>3807</v>
      </c>
      <c r="D247" s="15" t="s">
        <v>3369</v>
      </c>
      <c r="E247" s="15" t="s">
        <v>3336</v>
      </c>
      <c r="F247" s="15">
        <v>30</v>
      </c>
      <c r="G247" s="1805"/>
      <c r="H247" s="22"/>
      <c r="I247" s="22"/>
      <c r="J247" s="22"/>
      <c r="K247" s="1805"/>
      <c r="L247" s="1805"/>
      <c r="M247" s="1805"/>
      <c r="N247" s="1805"/>
      <c r="O247" s="1805"/>
      <c r="P247" s="1805"/>
      <c r="Q247" s="1805"/>
      <c r="R247" s="1805"/>
      <c r="S247" s="1805"/>
      <c r="T247" s="1805"/>
      <c r="U247" s="1805"/>
      <c r="V247" s="1805"/>
      <c r="W247" s="1805"/>
      <c r="X247" s="1805"/>
      <c r="Y247" s="1805"/>
      <c r="Z247" s="1805"/>
      <c r="AA247" s="1805"/>
      <c r="AB247" s="1805"/>
      <c r="AC247" s="1805"/>
      <c r="AD247" s="1805"/>
      <c r="AE247" s="22"/>
      <c r="AF247" s="22"/>
      <c r="AG247" s="22"/>
      <c r="AH247" s="22"/>
      <c r="AI247" s="22"/>
      <c r="AJ247" s="22"/>
    </row>
    <row r="248" spans="1:36" x14ac:dyDescent="0.2">
      <c r="A248" s="15" t="str">
        <f t="shared" si="3"/>
        <v>Obst-P2O5-Moor-D</v>
      </c>
      <c r="B248" s="4" t="s">
        <v>3650</v>
      </c>
      <c r="C248" s="15" t="s">
        <v>3807</v>
      </c>
      <c r="D248" s="15" t="s">
        <v>3369</v>
      </c>
      <c r="E248" s="15" t="s">
        <v>3337</v>
      </c>
      <c r="F248" s="15">
        <v>40</v>
      </c>
      <c r="G248" s="1805"/>
      <c r="H248" s="22"/>
      <c r="I248" s="22"/>
      <c r="J248" s="22"/>
      <c r="K248" s="1805"/>
      <c r="L248" s="1805"/>
      <c r="M248" s="1805"/>
      <c r="N248" s="1805"/>
      <c r="O248" s="1805"/>
      <c r="P248" s="1805"/>
      <c r="Q248" s="1805"/>
      <c r="R248" s="1805"/>
      <c r="S248" s="1805"/>
      <c r="T248" s="1805"/>
      <c r="U248" s="1805"/>
      <c r="V248" s="1805"/>
      <c r="W248" s="1805"/>
      <c r="X248" s="1805"/>
      <c r="Y248" s="1805"/>
      <c r="Z248" s="1805"/>
      <c r="AA248" s="1805"/>
      <c r="AB248" s="1805"/>
      <c r="AC248" s="1805"/>
      <c r="AD248" s="1805"/>
      <c r="AE248" s="22"/>
      <c r="AF248" s="22"/>
      <c r="AG248" s="22"/>
      <c r="AH248" s="22"/>
      <c r="AI248" s="22"/>
      <c r="AJ248" s="22"/>
    </row>
    <row r="249" spans="1:36" x14ac:dyDescent="0.2">
      <c r="A249" s="15" t="str">
        <f t="shared" si="3"/>
        <v>Obst-P2O5-schwer-A</v>
      </c>
      <c r="B249" s="15" t="s">
        <v>3650</v>
      </c>
      <c r="C249" s="15" t="s">
        <v>3807</v>
      </c>
      <c r="D249" s="15" t="s">
        <v>3640</v>
      </c>
      <c r="E249" s="15" t="s">
        <v>3330</v>
      </c>
      <c r="F249" s="15">
        <v>9</v>
      </c>
      <c r="G249" s="1805"/>
      <c r="H249" s="22"/>
      <c r="I249" s="22"/>
      <c r="J249" s="22"/>
      <c r="K249" s="1805"/>
      <c r="L249" s="1805"/>
      <c r="M249" s="1805"/>
      <c r="N249" s="1805"/>
      <c r="O249" s="1805"/>
      <c r="P249" s="1805"/>
      <c r="Q249" s="1805"/>
      <c r="R249" s="1805"/>
      <c r="S249" s="1805"/>
      <c r="T249" s="1805"/>
      <c r="U249" s="1805"/>
      <c r="V249" s="1805"/>
      <c r="W249" s="1805"/>
      <c r="X249" s="1805"/>
      <c r="Y249" s="1805"/>
      <c r="Z249" s="1805"/>
      <c r="AA249" s="1805"/>
      <c r="AB249" s="1805"/>
      <c r="AC249" s="1805"/>
      <c r="AD249" s="1805"/>
      <c r="AE249" s="22"/>
      <c r="AF249" s="22"/>
      <c r="AG249" s="22"/>
      <c r="AH249" s="22"/>
      <c r="AI249" s="22"/>
      <c r="AJ249" s="22"/>
    </row>
    <row r="250" spans="1:36" x14ac:dyDescent="0.2">
      <c r="A250" s="15" t="str">
        <f t="shared" si="3"/>
        <v>Obst-P2O5-schwer-B</v>
      </c>
      <c r="B250" s="15" t="s">
        <v>3650</v>
      </c>
      <c r="C250" s="15" t="s">
        <v>3807</v>
      </c>
      <c r="D250" s="15" t="s">
        <v>3640</v>
      </c>
      <c r="E250" s="15" t="s">
        <v>3335</v>
      </c>
      <c r="F250" s="15">
        <v>0</v>
      </c>
      <c r="G250" s="1805"/>
      <c r="H250" s="22"/>
      <c r="I250" s="22"/>
      <c r="J250" s="22"/>
      <c r="K250" s="1805"/>
      <c r="L250" s="1805"/>
      <c r="M250" s="1805"/>
      <c r="N250" s="1805"/>
      <c r="O250" s="1805"/>
      <c r="P250" s="1805"/>
      <c r="Q250" s="1805"/>
      <c r="R250" s="1805"/>
      <c r="S250" s="1805"/>
      <c r="T250" s="1805"/>
      <c r="U250" s="1805"/>
      <c r="V250" s="1805"/>
      <c r="W250" s="1805"/>
      <c r="X250" s="1805"/>
      <c r="Y250" s="1805"/>
      <c r="Z250" s="1805"/>
      <c r="AA250" s="1805"/>
      <c r="AB250" s="1805"/>
      <c r="AC250" s="1805"/>
      <c r="AD250" s="1805"/>
      <c r="AE250" s="22"/>
      <c r="AF250" s="22"/>
      <c r="AG250" s="22"/>
      <c r="AH250" s="22"/>
      <c r="AI250" s="22"/>
      <c r="AJ250" s="22"/>
    </row>
    <row r="251" spans="1:36" x14ac:dyDescent="0.2">
      <c r="A251" s="15" t="str">
        <f t="shared" si="3"/>
        <v>Obst-P2O5-schwer-C</v>
      </c>
      <c r="B251" s="15" t="s">
        <v>3650</v>
      </c>
      <c r="C251" s="15" t="s">
        <v>3807</v>
      </c>
      <c r="D251" s="15" t="s">
        <v>3640</v>
      </c>
      <c r="E251" s="15" t="s">
        <v>3336</v>
      </c>
      <c r="F251" s="15">
        <v>15</v>
      </c>
      <c r="G251" s="1805"/>
      <c r="H251" s="22"/>
      <c r="I251" s="22"/>
      <c r="J251" s="22"/>
      <c r="K251" s="1805"/>
      <c r="L251" s="1805"/>
      <c r="M251" s="1805"/>
      <c r="N251" s="1805"/>
      <c r="O251" s="1805"/>
      <c r="P251" s="1805"/>
      <c r="Q251" s="1805"/>
      <c r="R251" s="1805"/>
      <c r="S251" s="1805"/>
      <c r="T251" s="1805"/>
      <c r="U251" s="1805"/>
      <c r="V251" s="1805"/>
      <c r="W251" s="1805"/>
      <c r="X251" s="1805"/>
      <c r="Y251" s="1805"/>
      <c r="Z251" s="1805"/>
      <c r="AA251" s="1805"/>
      <c r="AB251" s="1805"/>
      <c r="AC251" s="1805"/>
      <c r="AD251" s="1805"/>
      <c r="AE251" s="22"/>
      <c r="AF251" s="22"/>
      <c r="AG251" s="22"/>
      <c r="AH251" s="22"/>
      <c r="AI251" s="22"/>
      <c r="AJ251" s="22"/>
    </row>
    <row r="252" spans="1:36" x14ac:dyDescent="0.2">
      <c r="A252" s="15" t="str">
        <f t="shared" si="3"/>
        <v>Obst-P2O5-schwer-D</v>
      </c>
      <c r="B252" s="15" t="s">
        <v>3650</v>
      </c>
      <c r="C252" s="15" t="s">
        <v>3807</v>
      </c>
      <c r="D252" s="15" t="s">
        <v>3640</v>
      </c>
      <c r="E252" s="15" t="s">
        <v>3337</v>
      </c>
      <c r="F252" s="15">
        <v>0</v>
      </c>
      <c r="G252" s="1805"/>
      <c r="H252" s="22"/>
      <c r="I252" s="22"/>
      <c r="J252" s="22"/>
      <c r="K252" s="1805"/>
      <c r="L252" s="1805"/>
      <c r="M252" s="1805"/>
      <c r="N252" s="1805"/>
      <c r="O252" s="1805"/>
      <c r="P252" s="1805"/>
      <c r="Q252" s="1805"/>
      <c r="R252" s="1805"/>
      <c r="S252" s="1805"/>
      <c r="T252" s="1805"/>
      <c r="U252" s="1805"/>
      <c r="V252" s="1805"/>
      <c r="W252" s="1805"/>
      <c r="X252" s="1805"/>
      <c r="Y252" s="1805"/>
      <c r="Z252" s="1805"/>
      <c r="AA252" s="1805"/>
      <c r="AB252" s="1805"/>
      <c r="AC252" s="1805"/>
      <c r="AD252" s="1805"/>
      <c r="AE252" s="22"/>
      <c r="AF252" s="22"/>
      <c r="AG252" s="22"/>
      <c r="AH252" s="22"/>
      <c r="AI252" s="22"/>
      <c r="AJ252" s="22"/>
    </row>
    <row r="253" spans="1:36" x14ac:dyDescent="0.2">
      <c r="A253" s="15" t="str">
        <f t="shared" si="3"/>
        <v>Reben-P2O5-leicht-A</v>
      </c>
      <c r="B253" s="15" t="s">
        <v>3651</v>
      </c>
      <c r="C253" s="15" t="s">
        <v>3807</v>
      </c>
      <c r="D253" s="15" t="s">
        <v>3635</v>
      </c>
      <c r="E253" s="15" t="s">
        <v>3330</v>
      </c>
      <c r="F253" s="15">
        <v>11</v>
      </c>
      <c r="G253" s="1805"/>
      <c r="H253" s="22"/>
      <c r="I253" s="22"/>
      <c r="J253" s="22"/>
      <c r="K253" s="1805"/>
      <c r="L253" s="1805"/>
      <c r="M253" s="1805"/>
      <c r="N253" s="1805"/>
      <c r="O253" s="1805"/>
      <c r="P253" s="1805"/>
      <c r="Q253" s="1805"/>
      <c r="R253" s="1805"/>
      <c r="S253" s="1805"/>
      <c r="T253" s="1805"/>
      <c r="U253" s="1805"/>
      <c r="V253" s="1805"/>
      <c r="W253" s="1805"/>
      <c r="X253" s="1805"/>
      <c r="Y253" s="1805"/>
      <c r="Z253" s="1805"/>
      <c r="AA253" s="1805"/>
      <c r="AB253" s="1805"/>
      <c r="AC253" s="1805"/>
      <c r="AD253" s="1805"/>
      <c r="AE253" s="22"/>
      <c r="AF253" s="22"/>
      <c r="AG253" s="22"/>
      <c r="AH253" s="22"/>
      <c r="AI253" s="22"/>
      <c r="AJ253" s="22"/>
    </row>
    <row r="254" spans="1:36" x14ac:dyDescent="0.2">
      <c r="A254" s="15" t="str">
        <f t="shared" si="3"/>
        <v>Reben-P2O5-leicht-B</v>
      </c>
      <c r="B254" s="15" t="s">
        <v>3651</v>
      </c>
      <c r="C254" s="15" t="s">
        <v>3807</v>
      </c>
      <c r="D254" s="15" t="s">
        <v>3635</v>
      </c>
      <c r="E254" s="15" t="s">
        <v>3335</v>
      </c>
      <c r="F254" s="15">
        <v>0</v>
      </c>
      <c r="G254" s="1805"/>
      <c r="H254" s="22"/>
      <c r="I254" s="22"/>
      <c r="J254" s="22"/>
      <c r="K254" s="1805"/>
      <c r="L254" s="1805"/>
      <c r="M254" s="1805"/>
      <c r="N254" s="1805"/>
      <c r="O254" s="1805"/>
      <c r="P254" s="1805"/>
      <c r="Q254" s="1805"/>
      <c r="R254" s="1805"/>
      <c r="S254" s="1805"/>
      <c r="T254" s="1805"/>
      <c r="U254" s="1805"/>
      <c r="V254" s="1805"/>
      <c r="W254" s="1805"/>
      <c r="X254" s="1805"/>
      <c r="Y254" s="1805"/>
      <c r="Z254" s="1805"/>
      <c r="AA254" s="1805"/>
      <c r="AB254" s="1805"/>
      <c r="AC254" s="1805"/>
      <c r="AD254" s="1805"/>
      <c r="AE254" s="22"/>
      <c r="AF254" s="22"/>
      <c r="AG254" s="22"/>
      <c r="AH254" s="22"/>
      <c r="AI254" s="22"/>
      <c r="AJ254" s="22"/>
    </row>
    <row r="255" spans="1:36" x14ac:dyDescent="0.2">
      <c r="A255" s="15" t="str">
        <f t="shared" si="3"/>
        <v>Reben-P2O5-leicht-C</v>
      </c>
      <c r="B255" s="15" t="s">
        <v>3651</v>
      </c>
      <c r="C255" s="15" t="s">
        <v>3807</v>
      </c>
      <c r="D255" s="15" t="s">
        <v>3635</v>
      </c>
      <c r="E255" s="15" t="s">
        <v>3336</v>
      </c>
      <c r="F255" s="15">
        <v>20</v>
      </c>
      <c r="G255" s="1805"/>
      <c r="H255" s="22"/>
      <c r="I255" s="22"/>
      <c r="J255" s="22"/>
      <c r="K255" s="1805"/>
      <c r="L255" s="1805"/>
      <c r="M255" s="1805"/>
      <c r="N255" s="1805"/>
      <c r="O255" s="1805"/>
      <c r="P255" s="1805"/>
      <c r="Q255" s="1805"/>
      <c r="R255" s="1805"/>
      <c r="S255" s="1805"/>
      <c r="T255" s="1805"/>
      <c r="U255" s="1805"/>
      <c r="V255" s="1805"/>
      <c r="W255" s="1805"/>
      <c r="X255" s="1805"/>
      <c r="Y255" s="1805"/>
      <c r="Z255" s="1805"/>
      <c r="AA255" s="1805"/>
      <c r="AB255" s="1805"/>
      <c r="AC255" s="1805"/>
      <c r="AD255" s="1805"/>
      <c r="AE255" s="22"/>
      <c r="AF255" s="22"/>
      <c r="AG255" s="22"/>
      <c r="AH255" s="22"/>
      <c r="AI255" s="22"/>
      <c r="AJ255" s="22"/>
    </row>
    <row r="256" spans="1:36" x14ac:dyDescent="0.2">
      <c r="A256" s="15" t="str">
        <f t="shared" si="3"/>
        <v>Reben-P2O5-leicht-D</v>
      </c>
      <c r="B256" s="15" t="s">
        <v>3651</v>
      </c>
      <c r="C256" s="15" t="s">
        <v>3807</v>
      </c>
      <c r="D256" s="15" t="s">
        <v>3635</v>
      </c>
      <c r="E256" s="15" t="s">
        <v>3337</v>
      </c>
      <c r="F256" s="15">
        <v>0</v>
      </c>
      <c r="G256" s="1805"/>
      <c r="H256" s="22"/>
      <c r="I256" s="22"/>
      <c r="J256" s="22"/>
      <c r="K256" s="1805"/>
      <c r="L256" s="1805"/>
      <c r="M256" s="1805"/>
      <c r="N256" s="1805"/>
      <c r="O256" s="1805"/>
      <c r="P256" s="1805"/>
      <c r="Q256" s="1805"/>
      <c r="R256" s="1805"/>
      <c r="S256" s="1805"/>
      <c r="T256" s="1805"/>
      <c r="U256" s="1805"/>
      <c r="V256" s="1805"/>
      <c r="W256" s="1805"/>
      <c r="X256" s="1805"/>
      <c r="Y256" s="1805"/>
      <c r="Z256" s="1805"/>
      <c r="AA256" s="1805"/>
      <c r="AB256" s="1805"/>
      <c r="AC256" s="1805"/>
      <c r="AD256" s="1805"/>
      <c r="AE256" s="22"/>
      <c r="AF256" s="22"/>
      <c r="AG256" s="22"/>
      <c r="AH256" s="22"/>
      <c r="AI256" s="22"/>
      <c r="AJ256" s="22"/>
    </row>
    <row r="257" spans="1:36" x14ac:dyDescent="0.2">
      <c r="A257" s="15" t="str">
        <f t="shared" si="3"/>
        <v>Reben-P2O5-mittel-A</v>
      </c>
      <c r="B257" s="15" t="s">
        <v>3651</v>
      </c>
      <c r="C257" s="15" t="s">
        <v>3807</v>
      </c>
      <c r="D257" s="15" t="s">
        <v>3453</v>
      </c>
      <c r="E257" s="15" t="s">
        <v>3330</v>
      </c>
      <c r="F257" s="15">
        <v>11</v>
      </c>
      <c r="G257" s="1805"/>
      <c r="H257" s="22"/>
      <c r="I257" s="22"/>
      <c r="J257" s="22"/>
      <c r="K257" s="1805"/>
      <c r="L257" s="1805"/>
      <c r="M257" s="1805"/>
      <c r="N257" s="1805"/>
      <c r="O257" s="1805"/>
      <c r="P257" s="1805"/>
      <c r="Q257" s="1805"/>
      <c r="R257" s="1805"/>
      <c r="S257" s="1805"/>
      <c r="T257" s="1805"/>
      <c r="U257" s="1805"/>
      <c r="V257" s="1805"/>
      <c r="W257" s="1805"/>
      <c r="X257" s="1805"/>
      <c r="Y257" s="1805"/>
      <c r="Z257" s="1805"/>
      <c r="AA257" s="1805"/>
      <c r="AB257" s="1805"/>
      <c r="AC257" s="1805"/>
      <c r="AD257" s="1805"/>
      <c r="AE257" s="22"/>
      <c r="AF257" s="22"/>
      <c r="AG257" s="22"/>
      <c r="AH257" s="22"/>
      <c r="AI257" s="22"/>
      <c r="AJ257" s="22"/>
    </row>
    <row r="258" spans="1:36" x14ac:dyDescent="0.2">
      <c r="A258" s="15" t="str">
        <f t="shared" si="3"/>
        <v>Reben-P2O5-mittel-B</v>
      </c>
      <c r="B258" s="15" t="s">
        <v>3651</v>
      </c>
      <c r="C258" s="15" t="s">
        <v>3807</v>
      </c>
      <c r="D258" s="15" t="s">
        <v>3453</v>
      </c>
      <c r="E258" s="15" t="s">
        <v>3335</v>
      </c>
      <c r="F258" s="15">
        <v>0</v>
      </c>
      <c r="G258" s="1805"/>
      <c r="H258" s="22"/>
      <c r="I258" s="22"/>
      <c r="J258" s="22"/>
      <c r="K258" s="1805"/>
      <c r="L258" s="1805"/>
      <c r="M258" s="1805"/>
      <c r="N258" s="1805"/>
      <c r="O258" s="1805"/>
      <c r="P258" s="1805"/>
      <c r="Q258" s="1805"/>
      <c r="R258" s="1805"/>
      <c r="S258" s="1805"/>
      <c r="T258" s="1805"/>
      <c r="U258" s="1805"/>
      <c r="V258" s="1805"/>
      <c r="W258" s="1805"/>
      <c r="X258" s="1805"/>
      <c r="Y258" s="1805"/>
      <c r="Z258" s="1805"/>
      <c r="AA258" s="1805"/>
      <c r="AB258" s="1805"/>
      <c r="AC258" s="1805"/>
      <c r="AD258" s="1805"/>
      <c r="AE258" s="22"/>
      <c r="AF258" s="22"/>
      <c r="AG258" s="22"/>
      <c r="AH258" s="22"/>
      <c r="AI258" s="22"/>
      <c r="AJ258" s="22"/>
    </row>
    <row r="259" spans="1:36" x14ac:dyDescent="0.2">
      <c r="A259" s="15" t="str">
        <f t="shared" si="3"/>
        <v>Reben-P2O5-mittel-C</v>
      </c>
      <c r="B259" s="15" t="s">
        <v>3651</v>
      </c>
      <c r="C259" s="15" t="s">
        <v>3807</v>
      </c>
      <c r="D259" s="15" t="s">
        <v>3453</v>
      </c>
      <c r="E259" s="15" t="s">
        <v>3336</v>
      </c>
      <c r="F259" s="15">
        <v>20</v>
      </c>
      <c r="G259" s="1805"/>
      <c r="H259" s="22"/>
      <c r="I259" s="22"/>
      <c r="J259" s="22"/>
      <c r="K259" s="1805"/>
      <c r="L259" s="1805"/>
      <c r="M259" s="1805"/>
      <c r="N259" s="1805"/>
      <c r="O259" s="1805"/>
      <c r="P259" s="1805"/>
      <c r="Q259" s="1805"/>
      <c r="R259" s="1805"/>
      <c r="S259" s="1805"/>
      <c r="T259" s="1805"/>
      <c r="U259" s="1805"/>
      <c r="V259" s="1805"/>
      <c r="W259" s="1805"/>
      <c r="X259" s="1805"/>
      <c r="Y259" s="1805"/>
      <c r="Z259" s="1805"/>
      <c r="AA259" s="1805"/>
      <c r="AB259" s="1805"/>
      <c r="AC259" s="1805"/>
      <c r="AD259" s="1805"/>
      <c r="AE259" s="22"/>
      <c r="AF259" s="22"/>
      <c r="AG259" s="22"/>
      <c r="AH259" s="22"/>
      <c r="AI259" s="22"/>
      <c r="AJ259" s="22"/>
    </row>
    <row r="260" spans="1:36" x14ac:dyDescent="0.2">
      <c r="A260" s="15" t="str">
        <f t="shared" si="3"/>
        <v>Reben-P2O5-mittel-D</v>
      </c>
      <c r="B260" s="15" t="s">
        <v>3651</v>
      </c>
      <c r="C260" s="15" t="s">
        <v>3807</v>
      </c>
      <c r="D260" s="15" t="s">
        <v>3453</v>
      </c>
      <c r="E260" s="15" t="s">
        <v>3337</v>
      </c>
      <c r="F260" s="15">
        <v>0</v>
      </c>
      <c r="G260" s="1805"/>
      <c r="H260" s="22"/>
      <c r="I260" s="22"/>
      <c r="J260" s="22"/>
      <c r="K260" s="1805"/>
      <c r="L260" s="1805"/>
      <c r="M260" s="1805"/>
      <c r="N260" s="1805"/>
      <c r="O260" s="1805"/>
      <c r="P260" s="1805"/>
      <c r="Q260" s="1805"/>
      <c r="R260" s="1805"/>
      <c r="S260" s="1805"/>
      <c r="T260" s="1805"/>
      <c r="U260" s="1805"/>
      <c r="V260" s="1805"/>
      <c r="W260" s="1805"/>
      <c r="X260" s="1805"/>
      <c r="Y260" s="1805"/>
      <c r="Z260" s="1805"/>
      <c r="AA260" s="1805"/>
      <c r="AB260" s="1805"/>
      <c r="AC260" s="1805"/>
      <c r="AD260" s="1805"/>
      <c r="AE260" s="22"/>
      <c r="AF260" s="22"/>
      <c r="AG260" s="22"/>
      <c r="AH260" s="22"/>
      <c r="AI260" s="22"/>
      <c r="AJ260" s="22"/>
    </row>
    <row r="261" spans="1:36" x14ac:dyDescent="0.2">
      <c r="A261" s="15" t="str">
        <f t="shared" si="3"/>
        <v>Reben-P2O5-Moor-A</v>
      </c>
      <c r="B261" s="4" t="s">
        <v>3651</v>
      </c>
      <c r="C261" s="15" t="s">
        <v>3807</v>
      </c>
      <c r="D261" s="15" t="s">
        <v>3369</v>
      </c>
      <c r="E261" s="15" t="s">
        <v>3330</v>
      </c>
      <c r="F261" s="15">
        <v>10</v>
      </c>
      <c r="G261" s="1805"/>
      <c r="H261" s="22"/>
      <c r="I261" s="22"/>
      <c r="J261" s="22"/>
      <c r="K261" s="1805"/>
      <c r="L261" s="1805"/>
      <c r="M261" s="1805"/>
      <c r="N261" s="1805"/>
      <c r="O261" s="1805"/>
      <c r="P261" s="1805"/>
      <c r="Q261" s="1805"/>
      <c r="R261" s="1805"/>
      <c r="S261" s="1805"/>
      <c r="T261" s="1805"/>
      <c r="U261" s="1805"/>
      <c r="V261" s="1805"/>
      <c r="W261" s="1805"/>
      <c r="X261" s="1805"/>
      <c r="Y261" s="1805"/>
      <c r="Z261" s="1805"/>
      <c r="AA261" s="1805"/>
      <c r="AB261" s="1805"/>
      <c r="AC261" s="1805"/>
      <c r="AD261" s="1805"/>
      <c r="AE261" s="22"/>
      <c r="AF261" s="22"/>
      <c r="AG261" s="22"/>
      <c r="AH261" s="22"/>
      <c r="AI261" s="22"/>
      <c r="AJ261" s="22"/>
    </row>
    <row r="262" spans="1:36" x14ac:dyDescent="0.2">
      <c r="A262" s="15" t="str">
        <f t="shared" si="3"/>
        <v>Reben-P2O5-Moor-B</v>
      </c>
      <c r="B262" s="4" t="s">
        <v>3651</v>
      </c>
      <c r="C262" s="15" t="s">
        <v>3807</v>
      </c>
      <c r="D262" s="15" t="s">
        <v>3369</v>
      </c>
      <c r="E262" s="15" t="s">
        <v>3335</v>
      </c>
      <c r="F262" s="15">
        <v>20</v>
      </c>
      <c r="G262" s="1805"/>
      <c r="H262" s="22"/>
      <c r="I262" s="22"/>
      <c r="J262" s="22"/>
      <c r="K262" s="1805"/>
      <c r="L262" s="1805"/>
      <c r="M262" s="1805"/>
      <c r="N262" s="1805"/>
      <c r="O262" s="1805"/>
      <c r="P262" s="1805"/>
      <c r="Q262" s="1805"/>
      <c r="R262" s="1805"/>
      <c r="S262" s="1805"/>
      <c r="T262" s="1805"/>
      <c r="U262" s="1805"/>
      <c r="V262" s="1805"/>
      <c r="W262" s="1805"/>
      <c r="X262" s="1805"/>
      <c r="Y262" s="1805"/>
      <c r="Z262" s="1805"/>
      <c r="AA262" s="1805"/>
      <c r="AB262" s="1805"/>
      <c r="AC262" s="1805"/>
      <c r="AD262" s="1805"/>
      <c r="AE262" s="22"/>
      <c r="AF262" s="22"/>
      <c r="AG262" s="22"/>
      <c r="AH262" s="22"/>
      <c r="AI262" s="22"/>
      <c r="AJ262" s="22"/>
    </row>
    <row r="263" spans="1:36" x14ac:dyDescent="0.2">
      <c r="A263" s="15" t="str">
        <f t="shared" si="3"/>
        <v>Reben-P2O5-Moor-C</v>
      </c>
      <c r="B263" s="4" t="s">
        <v>3651</v>
      </c>
      <c r="C263" s="15" t="s">
        <v>3807</v>
      </c>
      <c r="D263" s="15" t="s">
        <v>3369</v>
      </c>
      <c r="E263" s="15" t="s">
        <v>3336</v>
      </c>
      <c r="F263" s="15">
        <v>30</v>
      </c>
      <c r="G263" s="1805"/>
      <c r="H263" s="22"/>
      <c r="I263" s="22"/>
      <c r="J263" s="22"/>
      <c r="K263" s="1805"/>
      <c r="L263" s="1805"/>
      <c r="M263" s="1805"/>
      <c r="N263" s="1805"/>
      <c r="O263" s="1805"/>
      <c r="P263" s="1805"/>
      <c r="Q263" s="1805"/>
      <c r="R263" s="1805"/>
      <c r="S263" s="1805"/>
      <c r="T263" s="1805"/>
      <c r="U263" s="1805"/>
      <c r="V263" s="1805"/>
      <c r="W263" s="1805"/>
      <c r="X263" s="1805"/>
      <c r="Y263" s="1805"/>
      <c r="Z263" s="1805"/>
      <c r="AA263" s="1805"/>
      <c r="AB263" s="1805"/>
      <c r="AC263" s="1805"/>
      <c r="AD263" s="1805"/>
      <c r="AE263" s="22"/>
      <c r="AF263" s="22"/>
      <c r="AG263" s="22"/>
      <c r="AH263" s="22"/>
      <c r="AI263" s="22"/>
      <c r="AJ263" s="22"/>
    </row>
    <row r="264" spans="1:36" x14ac:dyDescent="0.2">
      <c r="A264" s="15" t="str">
        <f t="shared" si="3"/>
        <v>Reben-P2O5-Moor-D</v>
      </c>
      <c r="B264" s="4" t="s">
        <v>3651</v>
      </c>
      <c r="C264" s="15" t="s">
        <v>3807</v>
      </c>
      <c r="D264" s="15" t="s">
        <v>3369</v>
      </c>
      <c r="E264" s="15" t="s">
        <v>3337</v>
      </c>
      <c r="F264" s="15">
        <v>40</v>
      </c>
      <c r="G264" s="1805"/>
      <c r="H264" s="22"/>
      <c r="I264" s="22"/>
      <c r="J264" s="22"/>
      <c r="K264" s="1805"/>
      <c r="L264" s="1805"/>
      <c r="M264" s="1805"/>
      <c r="N264" s="1805"/>
      <c r="O264" s="1805"/>
      <c r="P264" s="1805"/>
      <c r="Q264" s="1805"/>
      <c r="R264" s="1805"/>
      <c r="S264" s="1805"/>
      <c r="T264" s="1805"/>
      <c r="U264" s="1805"/>
      <c r="V264" s="1805"/>
      <c r="W264" s="1805"/>
      <c r="X264" s="1805"/>
      <c r="Y264" s="1805"/>
      <c r="Z264" s="1805"/>
      <c r="AA264" s="1805"/>
      <c r="AB264" s="1805"/>
      <c r="AC264" s="1805"/>
      <c r="AD264" s="1805"/>
      <c r="AE264" s="22"/>
      <c r="AF264" s="22"/>
      <c r="AG264" s="22"/>
      <c r="AH264" s="22"/>
      <c r="AI264" s="22"/>
      <c r="AJ264" s="22"/>
    </row>
    <row r="265" spans="1:36" x14ac:dyDescent="0.2">
      <c r="A265" s="15" t="str">
        <f t="shared" si="3"/>
        <v>Reben-P2O5-schwer-A</v>
      </c>
      <c r="B265" s="15" t="s">
        <v>3651</v>
      </c>
      <c r="C265" s="15" t="s">
        <v>3807</v>
      </c>
      <c r="D265" s="15" t="s">
        <v>3640</v>
      </c>
      <c r="E265" s="15" t="s">
        <v>3330</v>
      </c>
      <c r="F265" s="15">
        <v>11</v>
      </c>
      <c r="G265" s="1805"/>
      <c r="H265" s="22"/>
      <c r="I265" s="22"/>
      <c r="J265" s="22"/>
      <c r="K265" s="1805"/>
      <c r="L265" s="1805"/>
      <c r="M265" s="1805"/>
      <c r="N265" s="1805"/>
      <c r="O265" s="1805"/>
      <c r="P265" s="1805"/>
      <c r="Q265" s="1805"/>
      <c r="R265" s="1805"/>
      <c r="S265" s="1805"/>
      <c r="T265" s="1805"/>
      <c r="U265" s="1805"/>
      <c r="V265" s="1805"/>
      <c r="W265" s="1805"/>
      <c r="X265" s="1805"/>
      <c r="Y265" s="1805"/>
      <c r="Z265" s="1805"/>
      <c r="AA265" s="1805"/>
      <c r="AB265" s="1805"/>
      <c r="AC265" s="1805"/>
      <c r="AD265" s="1805"/>
      <c r="AE265" s="22"/>
      <c r="AF265" s="22"/>
      <c r="AG265" s="22"/>
      <c r="AH265" s="22"/>
      <c r="AI265" s="22"/>
      <c r="AJ265" s="22"/>
    </row>
    <row r="266" spans="1:36" x14ac:dyDescent="0.2">
      <c r="A266" s="15" t="str">
        <f t="shared" si="3"/>
        <v>Reben-P2O5-schwer-B</v>
      </c>
      <c r="B266" s="15" t="s">
        <v>3651</v>
      </c>
      <c r="C266" s="15" t="s">
        <v>3807</v>
      </c>
      <c r="D266" s="15" t="s">
        <v>3640</v>
      </c>
      <c r="E266" s="15" t="s">
        <v>3335</v>
      </c>
      <c r="F266" s="15">
        <v>0</v>
      </c>
      <c r="G266" s="1805"/>
      <c r="H266" s="22"/>
      <c r="I266" s="22"/>
      <c r="J266" s="22"/>
      <c r="K266" s="1805"/>
      <c r="L266" s="1805"/>
      <c r="M266" s="1805"/>
      <c r="N266" s="1805"/>
      <c r="O266" s="1805"/>
      <c r="P266" s="1805"/>
      <c r="Q266" s="1805"/>
      <c r="R266" s="1805"/>
      <c r="S266" s="1805"/>
      <c r="T266" s="1805"/>
      <c r="U266" s="1805"/>
      <c r="V266" s="1805"/>
      <c r="W266" s="1805"/>
      <c r="X266" s="1805"/>
      <c r="Y266" s="1805"/>
      <c r="Z266" s="1805"/>
      <c r="AA266" s="1805"/>
      <c r="AB266" s="1805"/>
      <c r="AC266" s="1805"/>
      <c r="AD266" s="1805"/>
      <c r="AE266" s="22"/>
      <c r="AF266" s="22"/>
      <c r="AG266" s="22"/>
      <c r="AH266" s="22"/>
      <c r="AI266" s="22"/>
      <c r="AJ266" s="22"/>
    </row>
    <row r="267" spans="1:36" x14ac:dyDescent="0.2">
      <c r="A267" s="15" t="str">
        <f t="shared" si="3"/>
        <v>Reben-P2O5-schwer-C</v>
      </c>
      <c r="B267" s="15" t="s">
        <v>3651</v>
      </c>
      <c r="C267" s="15" t="s">
        <v>3807</v>
      </c>
      <c r="D267" s="15" t="s">
        <v>3640</v>
      </c>
      <c r="E267" s="15" t="s">
        <v>3336</v>
      </c>
      <c r="F267" s="15">
        <v>20</v>
      </c>
      <c r="G267" s="1805"/>
      <c r="H267" s="22"/>
      <c r="I267" s="22"/>
      <c r="J267" s="22"/>
      <c r="K267" s="1805"/>
      <c r="L267" s="1805"/>
      <c r="M267" s="1805"/>
      <c r="N267" s="1805"/>
      <c r="O267" s="1805"/>
      <c r="P267" s="1805"/>
      <c r="Q267" s="1805"/>
      <c r="R267" s="1805"/>
      <c r="S267" s="1805"/>
      <c r="T267" s="1805"/>
      <c r="U267" s="1805"/>
      <c r="V267" s="1805"/>
      <c r="W267" s="1805"/>
      <c r="X267" s="1805"/>
      <c r="Y267" s="1805"/>
      <c r="Z267" s="1805"/>
      <c r="AA267" s="1805"/>
      <c r="AB267" s="1805"/>
      <c r="AC267" s="1805"/>
      <c r="AD267" s="1805"/>
      <c r="AE267" s="22"/>
      <c r="AF267" s="22"/>
      <c r="AG267" s="22"/>
      <c r="AH267" s="22"/>
      <c r="AI267" s="22"/>
      <c r="AJ267" s="22"/>
    </row>
    <row r="268" spans="1:36" x14ac:dyDescent="0.2">
      <c r="A268" s="15" t="str">
        <f t="shared" si="3"/>
        <v>Reben-P2O5-schwer-D</v>
      </c>
      <c r="B268" s="15" t="s">
        <v>3651</v>
      </c>
      <c r="C268" s="15" t="s">
        <v>3807</v>
      </c>
      <c r="D268" s="15" t="s">
        <v>3640</v>
      </c>
      <c r="E268" s="15" t="s">
        <v>3337</v>
      </c>
      <c r="F268" s="15">
        <v>0</v>
      </c>
      <c r="G268" s="1805"/>
      <c r="H268" s="22"/>
      <c r="I268" s="22"/>
      <c r="J268" s="22"/>
      <c r="K268" s="1805"/>
      <c r="L268" s="1805"/>
      <c r="M268" s="1805"/>
      <c r="N268" s="1805"/>
      <c r="O268" s="1805"/>
      <c r="P268" s="1805"/>
      <c r="Q268" s="1805"/>
      <c r="R268" s="1805"/>
      <c r="S268" s="1805"/>
      <c r="T268" s="1805"/>
      <c r="U268" s="1805"/>
      <c r="V268" s="1805"/>
      <c r="W268" s="1805"/>
      <c r="X268" s="1805"/>
      <c r="Y268" s="1805"/>
      <c r="Z268" s="1805"/>
      <c r="AA268" s="1805"/>
      <c r="AB268" s="1805"/>
      <c r="AC268" s="1805"/>
      <c r="AD268" s="1805"/>
      <c r="AE268" s="22"/>
      <c r="AF268" s="22"/>
      <c r="AG268" s="22"/>
      <c r="AH268" s="22"/>
      <c r="AI268" s="22"/>
      <c r="AJ268" s="22"/>
    </row>
    <row r="269" spans="1:36" x14ac:dyDescent="0.2">
      <c r="A269" s="15" t="str">
        <f t="shared" si="3"/>
        <v>Grünland-P2O5-leicht-A</v>
      </c>
      <c r="B269" s="15" t="s">
        <v>3311</v>
      </c>
      <c r="C269" s="15" t="s">
        <v>3807</v>
      </c>
      <c r="D269" s="15" t="s">
        <v>3635</v>
      </c>
      <c r="E269" s="15" t="s">
        <v>3330</v>
      </c>
      <c r="F269" s="15">
        <v>5</v>
      </c>
      <c r="G269" s="1805"/>
      <c r="H269" s="22"/>
      <c r="I269" s="22"/>
      <c r="J269" s="22"/>
      <c r="K269" s="1805"/>
      <c r="L269" s="1805"/>
      <c r="M269" s="1805"/>
      <c r="N269" s="1805"/>
      <c r="O269" s="1805"/>
      <c r="P269" s="1805"/>
      <c r="Q269" s="1805"/>
      <c r="R269" s="1805"/>
      <c r="S269" s="1805"/>
      <c r="T269" s="1805"/>
      <c r="U269" s="1805"/>
      <c r="V269" s="1805"/>
      <c r="W269" s="1805"/>
      <c r="X269" s="1805"/>
      <c r="Y269" s="1805"/>
      <c r="Z269" s="1805"/>
      <c r="AA269" s="1805"/>
      <c r="AB269" s="1805"/>
      <c r="AC269" s="1805"/>
      <c r="AD269" s="1805"/>
      <c r="AE269" s="22"/>
      <c r="AF269" s="22"/>
      <c r="AG269" s="22"/>
      <c r="AH269" s="22"/>
      <c r="AI269" s="22"/>
      <c r="AJ269" s="22"/>
    </row>
    <row r="270" spans="1:36" x14ac:dyDescent="0.2">
      <c r="A270" s="15" t="str">
        <f t="shared" si="3"/>
        <v>Grünland-P2O5-leicht-B</v>
      </c>
      <c r="B270" s="15" t="s">
        <v>3311</v>
      </c>
      <c r="C270" s="15" t="s">
        <v>3807</v>
      </c>
      <c r="D270" s="15" t="s">
        <v>3635</v>
      </c>
      <c r="E270" s="15" t="s">
        <v>3335</v>
      </c>
      <c r="F270" s="15">
        <v>9</v>
      </c>
      <c r="G270" s="1805"/>
      <c r="H270" s="22"/>
      <c r="I270" s="22"/>
      <c r="J270" s="22"/>
      <c r="K270" s="1805"/>
      <c r="L270" s="1805"/>
      <c r="M270" s="1805"/>
      <c r="N270" s="1805"/>
      <c r="O270" s="1805"/>
      <c r="P270" s="1805"/>
      <c r="Q270" s="1805"/>
      <c r="R270" s="1805"/>
      <c r="S270" s="1805"/>
      <c r="T270" s="1805"/>
      <c r="U270" s="1805"/>
      <c r="V270" s="1805"/>
      <c r="W270" s="1805"/>
      <c r="X270" s="1805"/>
      <c r="Y270" s="1805"/>
      <c r="Z270" s="1805"/>
      <c r="AA270" s="1805"/>
      <c r="AB270" s="1805"/>
      <c r="AC270" s="1805"/>
      <c r="AD270" s="1805"/>
      <c r="AE270" s="22"/>
      <c r="AF270" s="22"/>
      <c r="AG270" s="22"/>
      <c r="AH270" s="22"/>
      <c r="AI270" s="22"/>
      <c r="AJ270" s="22"/>
    </row>
    <row r="271" spans="1:36" x14ac:dyDescent="0.2">
      <c r="A271" s="15" t="str">
        <f t="shared" si="3"/>
        <v>Grünland-P2O5-leicht-C</v>
      </c>
      <c r="B271" s="15" t="s">
        <v>3311</v>
      </c>
      <c r="C271" s="15" t="s">
        <v>3807</v>
      </c>
      <c r="D271" s="15" t="s">
        <v>3635</v>
      </c>
      <c r="E271" s="15" t="s">
        <v>3336</v>
      </c>
      <c r="F271" s="15">
        <v>20</v>
      </c>
      <c r="G271" s="1805"/>
      <c r="H271" s="22"/>
      <c r="I271" s="22"/>
      <c r="J271" s="22"/>
      <c r="K271" s="1805"/>
      <c r="L271" s="1805"/>
      <c r="M271" s="1805"/>
      <c r="N271" s="1805"/>
      <c r="O271" s="1805"/>
      <c r="P271" s="1805"/>
      <c r="Q271" s="1805"/>
      <c r="R271" s="1805"/>
      <c r="S271" s="1805"/>
      <c r="T271" s="1805"/>
      <c r="U271" s="1805"/>
      <c r="V271" s="1805"/>
      <c r="W271" s="1805"/>
      <c r="X271" s="1805"/>
      <c r="Y271" s="1805"/>
      <c r="Z271" s="1805"/>
      <c r="AA271" s="1805"/>
      <c r="AB271" s="1805"/>
      <c r="AC271" s="1805"/>
      <c r="AD271" s="1805"/>
      <c r="AE271" s="22"/>
      <c r="AF271" s="22"/>
      <c r="AG271" s="22"/>
      <c r="AH271" s="22"/>
      <c r="AI271" s="22"/>
      <c r="AJ271" s="22"/>
    </row>
    <row r="272" spans="1:36" x14ac:dyDescent="0.2">
      <c r="A272" s="15" t="str">
        <f t="shared" si="3"/>
        <v>Grünland-P2O5-leicht-D</v>
      </c>
      <c r="B272" s="15" t="s">
        <v>3311</v>
      </c>
      <c r="C272" s="15" t="s">
        <v>3807</v>
      </c>
      <c r="D272" s="15" t="s">
        <v>3635</v>
      </c>
      <c r="E272" s="15" t="s">
        <v>3337</v>
      </c>
      <c r="F272" s="15">
        <v>34</v>
      </c>
      <c r="G272" s="1805"/>
      <c r="H272" s="22"/>
      <c r="I272" s="22"/>
      <c r="J272" s="22"/>
      <c r="K272" s="1805"/>
      <c r="L272" s="1805"/>
      <c r="M272" s="1805"/>
      <c r="N272" s="1805"/>
      <c r="O272" s="1805"/>
      <c r="P272" s="1805"/>
      <c r="Q272" s="1805"/>
      <c r="R272" s="1805"/>
      <c r="S272" s="1805"/>
      <c r="T272" s="1805"/>
      <c r="U272" s="1805"/>
      <c r="V272" s="1805"/>
      <c r="W272" s="1805"/>
      <c r="X272" s="1805"/>
      <c r="Y272" s="1805"/>
      <c r="Z272" s="1805"/>
      <c r="AA272" s="1805"/>
      <c r="AB272" s="1805"/>
      <c r="AC272" s="1805"/>
      <c r="AD272" s="1805"/>
      <c r="AE272" s="22"/>
      <c r="AF272" s="22"/>
      <c r="AG272" s="22"/>
      <c r="AH272" s="22"/>
      <c r="AI272" s="22"/>
      <c r="AJ272" s="22"/>
    </row>
    <row r="273" spans="1:36" x14ac:dyDescent="0.2">
      <c r="A273" s="15" t="str">
        <f t="shared" si="3"/>
        <v>Grünland-P2O5-mittel-A</v>
      </c>
      <c r="B273" s="15" t="s">
        <v>3311</v>
      </c>
      <c r="C273" s="15" t="s">
        <v>3807</v>
      </c>
      <c r="D273" s="15" t="s">
        <v>3453</v>
      </c>
      <c r="E273" s="15" t="s">
        <v>3330</v>
      </c>
      <c r="F273" s="15">
        <v>5</v>
      </c>
      <c r="G273" s="1805"/>
      <c r="H273" s="22"/>
      <c r="I273" s="22"/>
      <c r="J273" s="22"/>
      <c r="K273" s="1805"/>
      <c r="L273" s="1805"/>
      <c r="M273" s="1805"/>
      <c r="N273" s="1805"/>
      <c r="O273" s="1805"/>
      <c r="P273" s="1805"/>
      <c r="Q273" s="1805"/>
      <c r="R273" s="1805"/>
      <c r="S273" s="1805"/>
      <c r="T273" s="1805"/>
      <c r="U273" s="1805"/>
      <c r="V273" s="1805"/>
      <c r="W273" s="1805"/>
      <c r="X273" s="1805"/>
      <c r="Y273" s="1805"/>
      <c r="Z273" s="1805"/>
      <c r="AA273" s="1805"/>
      <c r="AB273" s="1805"/>
      <c r="AC273" s="1805"/>
      <c r="AD273" s="1805"/>
      <c r="AE273" s="22"/>
      <c r="AF273" s="22"/>
      <c r="AG273" s="22"/>
      <c r="AH273" s="22"/>
      <c r="AI273" s="22"/>
      <c r="AJ273" s="22"/>
    </row>
    <row r="274" spans="1:36" x14ac:dyDescent="0.2">
      <c r="A274" s="15" t="str">
        <f t="shared" si="3"/>
        <v>Grünland-P2O5-mittel-B</v>
      </c>
      <c r="B274" s="15" t="s">
        <v>3311</v>
      </c>
      <c r="C274" s="15" t="s">
        <v>3807</v>
      </c>
      <c r="D274" s="15" t="s">
        <v>3453</v>
      </c>
      <c r="E274" s="15" t="s">
        <v>3335</v>
      </c>
      <c r="F274" s="15">
        <v>9</v>
      </c>
      <c r="G274" s="1805"/>
      <c r="H274" s="22"/>
      <c r="I274" s="22"/>
      <c r="J274" s="22"/>
      <c r="K274" s="1805"/>
      <c r="L274" s="1805"/>
      <c r="M274" s="1805"/>
      <c r="N274" s="1805"/>
      <c r="O274" s="1805"/>
      <c r="P274" s="1805"/>
      <c r="Q274" s="1805"/>
      <c r="R274" s="1805"/>
      <c r="S274" s="1805"/>
      <c r="T274" s="1805"/>
      <c r="U274" s="1805"/>
      <c r="V274" s="1805"/>
      <c r="W274" s="1805"/>
      <c r="X274" s="1805"/>
      <c r="Y274" s="1805"/>
      <c r="Z274" s="1805"/>
      <c r="AA274" s="1805"/>
      <c r="AB274" s="1805"/>
      <c r="AC274" s="1805"/>
      <c r="AD274" s="1805"/>
      <c r="AE274" s="22"/>
      <c r="AF274" s="22"/>
      <c r="AG274" s="22"/>
      <c r="AH274" s="22"/>
      <c r="AI274" s="22"/>
      <c r="AJ274" s="22"/>
    </row>
    <row r="275" spans="1:36" x14ac:dyDescent="0.2">
      <c r="A275" s="15" t="str">
        <f t="shared" si="3"/>
        <v>Grünland-P2O5-mittel-C</v>
      </c>
      <c r="B275" s="15" t="s">
        <v>3311</v>
      </c>
      <c r="C275" s="15" t="s">
        <v>3807</v>
      </c>
      <c r="D275" s="15" t="s">
        <v>3453</v>
      </c>
      <c r="E275" s="15" t="s">
        <v>3336</v>
      </c>
      <c r="F275" s="15">
        <v>20</v>
      </c>
      <c r="G275" s="1805"/>
      <c r="H275" s="22"/>
      <c r="I275" s="22"/>
      <c r="J275" s="22"/>
      <c r="K275" s="1805"/>
      <c r="L275" s="1805"/>
      <c r="M275" s="1805"/>
      <c r="N275" s="1805"/>
      <c r="O275" s="1805"/>
      <c r="P275" s="1805"/>
      <c r="Q275" s="1805"/>
      <c r="R275" s="1805"/>
      <c r="S275" s="1805"/>
      <c r="T275" s="1805"/>
      <c r="U275" s="1805"/>
      <c r="V275" s="1805"/>
      <c r="W275" s="1805"/>
      <c r="X275" s="1805"/>
      <c r="Y275" s="1805"/>
      <c r="Z275" s="1805"/>
      <c r="AA275" s="1805"/>
      <c r="AB275" s="1805"/>
      <c r="AC275" s="1805"/>
      <c r="AD275" s="1805"/>
      <c r="AE275" s="22"/>
      <c r="AF275" s="22"/>
      <c r="AG275" s="22"/>
      <c r="AH275" s="22"/>
      <c r="AI275" s="22"/>
      <c r="AJ275" s="22"/>
    </row>
    <row r="276" spans="1:36" x14ac:dyDescent="0.2">
      <c r="A276" s="15" t="str">
        <f t="shared" si="3"/>
        <v>Grünland-P2O5-mittel-D</v>
      </c>
      <c r="B276" s="15" t="s">
        <v>3311</v>
      </c>
      <c r="C276" s="15" t="s">
        <v>3807</v>
      </c>
      <c r="D276" s="15" t="s">
        <v>3453</v>
      </c>
      <c r="E276" s="15" t="s">
        <v>3337</v>
      </c>
      <c r="F276" s="15">
        <v>34</v>
      </c>
      <c r="G276" s="1805"/>
      <c r="H276" s="22"/>
      <c r="I276" s="22"/>
      <c r="J276" s="22"/>
      <c r="K276" s="1805"/>
      <c r="L276" s="1805"/>
      <c r="M276" s="1805"/>
      <c r="N276" s="1805"/>
      <c r="O276" s="1805"/>
      <c r="P276" s="1805"/>
      <c r="Q276" s="1805"/>
      <c r="R276" s="1805"/>
      <c r="S276" s="1805"/>
      <c r="T276" s="1805"/>
      <c r="U276" s="1805"/>
      <c r="V276" s="1805"/>
      <c r="W276" s="1805"/>
      <c r="X276" s="1805"/>
      <c r="Y276" s="1805"/>
      <c r="Z276" s="1805"/>
      <c r="AA276" s="1805"/>
      <c r="AB276" s="1805"/>
      <c r="AC276" s="1805"/>
      <c r="AD276" s="1805"/>
      <c r="AE276" s="22"/>
      <c r="AF276" s="22"/>
      <c r="AG276" s="22"/>
      <c r="AH276" s="22"/>
      <c r="AI276" s="22"/>
      <c r="AJ276" s="22"/>
    </row>
    <row r="277" spans="1:36" x14ac:dyDescent="0.2">
      <c r="A277" s="15" t="str">
        <f t="shared" si="3"/>
        <v>Grünland-P2O5-Moor-A</v>
      </c>
      <c r="B277" s="15" t="s">
        <v>3311</v>
      </c>
      <c r="C277" s="15" t="s">
        <v>3807</v>
      </c>
      <c r="D277" s="15" t="s">
        <v>3369</v>
      </c>
      <c r="E277" s="15" t="s">
        <v>3330</v>
      </c>
      <c r="F277" s="15">
        <v>10</v>
      </c>
      <c r="G277" s="1805"/>
      <c r="H277" s="22"/>
      <c r="I277" s="22"/>
      <c r="J277" s="22"/>
      <c r="K277" s="1805"/>
      <c r="L277" s="1805"/>
      <c r="M277" s="1805"/>
      <c r="N277" s="1805"/>
      <c r="O277" s="1805"/>
      <c r="P277" s="1805"/>
      <c r="Q277" s="1805"/>
      <c r="R277" s="1805"/>
      <c r="S277" s="1805"/>
      <c r="T277" s="1805"/>
      <c r="U277" s="1805"/>
      <c r="V277" s="1805"/>
      <c r="W277" s="1805"/>
      <c r="X277" s="1805"/>
      <c r="Y277" s="1805"/>
      <c r="Z277" s="1805"/>
      <c r="AA277" s="1805"/>
      <c r="AB277" s="1805"/>
      <c r="AC277" s="1805"/>
      <c r="AD277" s="1805"/>
      <c r="AE277" s="22"/>
      <c r="AF277" s="22"/>
      <c r="AG277" s="22"/>
      <c r="AH277" s="22"/>
      <c r="AI277" s="22"/>
      <c r="AJ277" s="22"/>
    </row>
    <row r="278" spans="1:36" x14ac:dyDescent="0.2">
      <c r="A278" s="15" t="str">
        <f t="shared" si="3"/>
        <v>Grünland-P2O5-Moor-B</v>
      </c>
      <c r="B278" s="15" t="s">
        <v>3311</v>
      </c>
      <c r="C278" s="15" t="s">
        <v>3807</v>
      </c>
      <c r="D278" s="15" t="s">
        <v>3369</v>
      </c>
      <c r="E278" s="15" t="s">
        <v>3335</v>
      </c>
      <c r="F278" s="15">
        <v>20</v>
      </c>
      <c r="G278" s="1805"/>
      <c r="H278" s="22"/>
      <c r="I278" s="22"/>
      <c r="J278" s="22"/>
      <c r="K278" s="1805"/>
      <c r="L278" s="1805"/>
      <c r="M278" s="1805"/>
      <c r="N278" s="1805"/>
      <c r="O278" s="1805"/>
      <c r="P278" s="1805"/>
      <c r="Q278" s="1805"/>
      <c r="R278" s="1805"/>
      <c r="S278" s="1805"/>
      <c r="T278" s="1805"/>
      <c r="U278" s="1805"/>
      <c r="V278" s="1805"/>
      <c r="W278" s="1805"/>
      <c r="X278" s="1805"/>
      <c r="Y278" s="1805"/>
      <c r="Z278" s="1805"/>
      <c r="AA278" s="1805"/>
      <c r="AB278" s="1805"/>
      <c r="AC278" s="1805"/>
      <c r="AD278" s="1805"/>
      <c r="AE278" s="22"/>
      <c r="AF278" s="22"/>
      <c r="AG278" s="22"/>
      <c r="AH278" s="22"/>
      <c r="AI278" s="22"/>
      <c r="AJ278" s="22"/>
    </row>
    <row r="279" spans="1:36" x14ac:dyDescent="0.2">
      <c r="A279" s="15" t="str">
        <f t="shared" si="3"/>
        <v>Grünland-P2O5-Moor-C</v>
      </c>
      <c r="B279" s="15" t="s">
        <v>3311</v>
      </c>
      <c r="C279" s="15" t="s">
        <v>3807</v>
      </c>
      <c r="D279" s="15" t="s">
        <v>3369</v>
      </c>
      <c r="E279" s="15" t="s">
        <v>3336</v>
      </c>
      <c r="F279" s="15">
        <v>30</v>
      </c>
      <c r="G279" s="1805"/>
      <c r="H279" s="22"/>
      <c r="I279" s="22"/>
      <c r="J279" s="22"/>
      <c r="K279" s="1805"/>
      <c r="L279" s="1805"/>
      <c r="M279" s="1805"/>
      <c r="N279" s="1805"/>
      <c r="O279" s="1805"/>
      <c r="P279" s="1805"/>
      <c r="Q279" s="1805"/>
      <c r="R279" s="1805"/>
      <c r="S279" s="1805"/>
      <c r="T279" s="1805"/>
      <c r="U279" s="1805"/>
      <c r="V279" s="1805"/>
      <c r="W279" s="1805"/>
      <c r="X279" s="1805"/>
      <c r="Y279" s="1805"/>
      <c r="Z279" s="1805"/>
      <c r="AA279" s="1805"/>
      <c r="AB279" s="1805"/>
      <c r="AC279" s="1805"/>
      <c r="AD279" s="1805"/>
      <c r="AE279" s="22"/>
      <c r="AF279" s="22"/>
      <c r="AG279" s="22"/>
      <c r="AH279" s="22"/>
      <c r="AI279" s="22"/>
      <c r="AJ279" s="22"/>
    </row>
    <row r="280" spans="1:36" x14ac:dyDescent="0.2">
      <c r="A280" s="15" t="str">
        <f t="shared" si="3"/>
        <v>Grünland-P2O5-Moor-D</v>
      </c>
      <c r="B280" s="15" t="s">
        <v>3311</v>
      </c>
      <c r="C280" s="15" t="s">
        <v>3807</v>
      </c>
      <c r="D280" s="15" t="s">
        <v>3369</v>
      </c>
      <c r="E280" s="15" t="s">
        <v>3337</v>
      </c>
      <c r="F280" s="15">
        <v>40</v>
      </c>
      <c r="G280" s="1805"/>
      <c r="H280" s="22"/>
      <c r="I280" s="22"/>
      <c r="J280" s="22"/>
      <c r="K280" s="1805"/>
      <c r="L280" s="1805"/>
      <c r="M280" s="1805"/>
      <c r="N280" s="1805"/>
      <c r="O280" s="1805"/>
      <c r="P280" s="1805"/>
      <c r="Q280" s="1805"/>
      <c r="R280" s="1805"/>
      <c r="S280" s="1805"/>
      <c r="T280" s="1805"/>
      <c r="U280" s="1805"/>
      <c r="V280" s="1805"/>
      <c r="W280" s="1805"/>
      <c r="X280" s="1805"/>
      <c r="Y280" s="1805"/>
      <c r="Z280" s="1805"/>
      <c r="AA280" s="1805"/>
      <c r="AB280" s="1805"/>
      <c r="AC280" s="1805"/>
      <c r="AD280" s="1805"/>
      <c r="AE280" s="22"/>
      <c r="AF280" s="22"/>
      <c r="AG280" s="22"/>
      <c r="AH280" s="22"/>
      <c r="AI280" s="22"/>
      <c r="AJ280" s="22"/>
    </row>
    <row r="281" spans="1:36" x14ac:dyDescent="0.2">
      <c r="A281" s="15" t="str">
        <f t="shared" si="3"/>
        <v>Grünland-P2O5-schwer-A</v>
      </c>
      <c r="B281" s="15" t="s">
        <v>3311</v>
      </c>
      <c r="C281" s="15" t="s">
        <v>3807</v>
      </c>
      <c r="D281" s="15" t="s">
        <v>3640</v>
      </c>
      <c r="E281" s="15" t="s">
        <v>3330</v>
      </c>
      <c r="F281" s="15">
        <v>5</v>
      </c>
      <c r="G281" s="1805"/>
      <c r="H281" s="22"/>
      <c r="I281" s="22"/>
      <c r="J281" s="22"/>
      <c r="K281" s="1805"/>
      <c r="L281" s="1805"/>
      <c r="M281" s="1805"/>
      <c r="N281" s="1805"/>
      <c r="O281" s="1805"/>
      <c r="P281" s="1805"/>
      <c r="Q281" s="1805"/>
      <c r="R281" s="1805"/>
      <c r="S281" s="1805"/>
      <c r="T281" s="1805"/>
      <c r="U281" s="1805"/>
      <c r="V281" s="1805"/>
      <c r="W281" s="1805"/>
      <c r="X281" s="1805"/>
      <c r="Y281" s="1805"/>
      <c r="Z281" s="1805"/>
      <c r="AA281" s="1805"/>
      <c r="AB281" s="1805"/>
      <c r="AC281" s="1805"/>
      <c r="AD281" s="1805"/>
      <c r="AE281" s="22"/>
      <c r="AF281" s="22"/>
      <c r="AG281" s="22"/>
      <c r="AH281" s="22"/>
      <c r="AI281" s="22"/>
      <c r="AJ281" s="22"/>
    </row>
    <row r="282" spans="1:36" x14ac:dyDescent="0.2">
      <c r="A282" s="15" t="str">
        <f t="shared" si="3"/>
        <v>Grünland-P2O5-schwer-B</v>
      </c>
      <c r="B282" s="15" t="s">
        <v>3311</v>
      </c>
      <c r="C282" s="15" t="s">
        <v>3807</v>
      </c>
      <c r="D282" s="15" t="s">
        <v>3640</v>
      </c>
      <c r="E282" s="15" t="s">
        <v>3335</v>
      </c>
      <c r="F282" s="15">
        <v>9</v>
      </c>
      <c r="G282" s="1805"/>
      <c r="H282" s="22"/>
      <c r="I282" s="22"/>
      <c r="J282" s="22"/>
      <c r="K282" s="1805"/>
      <c r="L282" s="1805"/>
      <c r="M282" s="1805"/>
      <c r="N282" s="1805"/>
      <c r="O282" s="1805"/>
      <c r="P282" s="1805"/>
      <c r="Q282" s="1805"/>
      <c r="R282" s="1805"/>
      <c r="S282" s="1805"/>
      <c r="T282" s="1805"/>
      <c r="U282" s="1805"/>
      <c r="V282" s="1805"/>
      <c r="W282" s="1805"/>
      <c r="X282" s="1805"/>
      <c r="Y282" s="1805"/>
      <c r="Z282" s="1805"/>
      <c r="AA282" s="1805"/>
      <c r="AB282" s="1805"/>
      <c r="AC282" s="1805"/>
      <c r="AD282" s="1805"/>
      <c r="AE282" s="22"/>
      <c r="AF282" s="22"/>
      <c r="AG282" s="22"/>
      <c r="AH282" s="22"/>
      <c r="AI282" s="22"/>
      <c r="AJ282" s="22"/>
    </row>
    <row r="283" spans="1:36" x14ac:dyDescent="0.2">
      <c r="A283" s="15" t="str">
        <f t="shared" si="3"/>
        <v>Grünland-P2O5-schwer-C</v>
      </c>
      <c r="B283" s="15" t="s">
        <v>3311</v>
      </c>
      <c r="C283" s="15" t="s">
        <v>3807</v>
      </c>
      <c r="D283" s="15" t="s">
        <v>3640</v>
      </c>
      <c r="E283" s="15" t="s">
        <v>3336</v>
      </c>
      <c r="F283" s="15">
        <v>20</v>
      </c>
      <c r="G283" s="1805"/>
      <c r="H283" s="22"/>
      <c r="I283" s="22"/>
      <c r="J283" s="22"/>
      <c r="K283" s="1805"/>
      <c r="L283" s="1805"/>
      <c r="M283" s="1805"/>
      <c r="N283" s="1805"/>
      <c r="O283" s="1805"/>
      <c r="P283" s="1805"/>
      <c r="Q283" s="1805"/>
      <c r="R283" s="1805"/>
      <c r="S283" s="1805"/>
      <c r="T283" s="1805"/>
      <c r="U283" s="1805"/>
      <c r="V283" s="1805"/>
      <c r="W283" s="1805"/>
      <c r="X283" s="1805"/>
      <c r="Y283" s="1805"/>
      <c r="Z283" s="1805"/>
      <c r="AA283" s="1805"/>
      <c r="AB283" s="1805"/>
      <c r="AC283" s="1805"/>
      <c r="AD283" s="1805"/>
      <c r="AE283" s="22"/>
      <c r="AF283" s="22"/>
      <c r="AG283" s="22"/>
      <c r="AH283" s="22"/>
      <c r="AI283" s="22"/>
      <c r="AJ283" s="22"/>
    </row>
    <row r="284" spans="1:36" x14ac:dyDescent="0.2">
      <c r="A284" s="15" t="str">
        <f t="shared" si="3"/>
        <v>Grünland-P2O5-schwer-D</v>
      </c>
      <c r="B284" s="15" t="s">
        <v>3311</v>
      </c>
      <c r="C284" s="15" t="s">
        <v>3807</v>
      </c>
      <c r="D284" s="15" t="s">
        <v>3640</v>
      </c>
      <c r="E284" s="15" t="s">
        <v>3337</v>
      </c>
      <c r="F284" s="15">
        <v>34</v>
      </c>
      <c r="G284" s="1805"/>
      <c r="H284" s="22"/>
      <c r="I284" s="22"/>
      <c r="J284" s="22"/>
      <c r="K284" s="1805"/>
      <c r="L284" s="1805"/>
      <c r="M284" s="1805"/>
      <c r="N284" s="1805"/>
      <c r="O284" s="1805"/>
      <c r="P284" s="1805"/>
      <c r="Q284" s="1805"/>
      <c r="R284" s="1805"/>
      <c r="S284" s="1805"/>
      <c r="T284" s="1805"/>
      <c r="U284" s="1805"/>
      <c r="V284" s="1805"/>
      <c r="W284" s="1805"/>
      <c r="X284" s="1805"/>
      <c r="Y284" s="1805"/>
      <c r="Z284" s="1805"/>
      <c r="AA284" s="1805"/>
      <c r="AB284" s="1805"/>
      <c r="AC284" s="1805"/>
      <c r="AD284" s="1805"/>
      <c r="AE284" s="22"/>
      <c r="AF284" s="22"/>
      <c r="AG284" s="22"/>
      <c r="AH284" s="22"/>
      <c r="AI284" s="22"/>
      <c r="AJ284" s="22"/>
    </row>
    <row r="285" spans="1:36" x14ac:dyDescent="0.2">
      <c r="A285" s="15"/>
      <c r="B285" s="4"/>
      <c r="C285" s="15"/>
      <c r="D285" s="15"/>
      <c r="E285" s="15"/>
      <c r="F285" s="15"/>
      <c r="G285" s="1805"/>
      <c r="H285" s="22"/>
      <c r="I285" s="22"/>
      <c r="J285" s="22"/>
      <c r="K285" s="1805"/>
      <c r="L285" s="1805"/>
      <c r="M285" s="1805"/>
      <c r="N285" s="1805"/>
      <c r="O285" s="1805"/>
      <c r="P285" s="1805"/>
      <c r="Q285" s="1805"/>
      <c r="R285" s="1805"/>
      <c r="S285" s="1805"/>
      <c r="T285" s="1805"/>
      <c r="U285" s="1805"/>
      <c r="V285" s="1805"/>
      <c r="W285" s="1805"/>
      <c r="X285" s="1805"/>
      <c r="Y285" s="1805"/>
      <c r="Z285" s="1805"/>
      <c r="AA285" s="1805"/>
      <c r="AB285" s="1805"/>
      <c r="AC285" s="1805"/>
      <c r="AD285" s="1805"/>
      <c r="AE285" s="22"/>
      <c r="AF285" s="22"/>
      <c r="AG285" s="22"/>
      <c r="AH285" s="22"/>
      <c r="AI285" s="22"/>
      <c r="AJ285" s="22"/>
    </row>
    <row r="286" spans="1:36" x14ac:dyDescent="0.2">
      <c r="A286" s="569"/>
      <c r="B286" s="569"/>
      <c r="C286" s="569"/>
      <c r="D286" s="569"/>
      <c r="E286" s="613"/>
      <c r="F286" s="613"/>
      <c r="G286" s="588"/>
      <c r="H286" s="569"/>
      <c r="I286" s="569"/>
      <c r="J286" s="569"/>
      <c r="K286" s="588"/>
      <c r="L286" s="588"/>
      <c r="M286" s="588"/>
      <c r="N286" s="588"/>
      <c r="O286" s="588"/>
      <c r="P286" s="588"/>
      <c r="Q286" s="588"/>
      <c r="R286" s="588"/>
      <c r="S286" s="588"/>
      <c r="T286" s="588"/>
      <c r="U286" s="588"/>
      <c r="V286" s="588"/>
      <c r="W286" s="588"/>
      <c r="X286" s="588"/>
      <c r="Y286" s="588"/>
      <c r="Z286" s="588"/>
      <c r="AA286" s="588"/>
      <c r="AB286" s="588"/>
      <c r="AC286" s="588"/>
      <c r="AD286" s="588"/>
      <c r="AE286" s="569"/>
      <c r="AF286" s="569"/>
      <c r="AG286" s="569"/>
      <c r="AH286" s="569"/>
      <c r="AI286" s="569"/>
      <c r="AJ286" s="569"/>
    </row>
    <row r="287" spans="1:36" x14ac:dyDescent="0.2">
      <c r="A287" s="22"/>
      <c r="B287" s="22"/>
      <c r="C287" s="22"/>
      <c r="D287" s="22"/>
      <c r="E287" s="575"/>
      <c r="F287" s="1805"/>
      <c r="G287" s="1805"/>
      <c r="H287" s="22"/>
      <c r="I287" s="22"/>
      <c r="J287" s="22"/>
      <c r="K287" s="1805"/>
      <c r="L287" s="1805"/>
      <c r="M287" s="1805"/>
      <c r="N287" s="1805"/>
      <c r="O287" s="1805"/>
      <c r="P287" s="1805"/>
      <c r="Q287" s="1805"/>
      <c r="R287" s="1805"/>
      <c r="S287" s="1805"/>
      <c r="T287" s="1805"/>
      <c r="U287" s="1805"/>
      <c r="V287" s="1805"/>
      <c r="W287" s="1805"/>
      <c r="X287" s="1805"/>
      <c r="Y287" s="1805"/>
      <c r="Z287" s="1805"/>
      <c r="AA287" s="1805"/>
      <c r="AB287" s="1805"/>
      <c r="AC287" s="1805"/>
      <c r="AD287" s="1805"/>
      <c r="AE287" s="22"/>
      <c r="AF287" s="22"/>
      <c r="AG287" s="22"/>
      <c r="AH287" s="22"/>
      <c r="AI287" s="22"/>
      <c r="AJ287" s="22"/>
    </row>
    <row r="288" spans="1:36" x14ac:dyDescent="0.2">
      <c r="A288" s="1802"/>
      <c r="B288" s="1804"/>
      <c r="C288" s="1804"/>
      <c r="D288" s="1802"/>
      <c r="E288" s="1802"/>
      <c r="F288" s="1802"/>
      <c r="G288" s="1803"/>
      <c r="H288" s="1803"/>
      <c r="I288" s="1803"/>
      <c r="J288" s="1803"/>
      <c r="K288" s="1803"/>
      <c r="L288" s="1803"/>
      <c r="M288" s="1803"/>
      <c r="N288" s="1803"/>
      <c r="O288" s="1803"/>
      <c r="P288" s="1803"/>
      <c r="Q288" s="1803"/>
      <c r="R288" s="1803"/>
      <c r="S288" s="1803"/>
      <c r="T288" s="1803"/>
      <c r="U288" s="1803"/>
      <c r="V288" s="1803"/>
      <c r="W288" s="1803"/>
      <c r="X288" s="1803"/>
      <c r="Y288" s="1803"/>
      <c r="Z288" s="1803"/>
      <c r="AA288" s="1803"/>
      <c r="AB288" s="1803"/>
      <c r="AC288" s="1802"/>
      <c r="AD288" s="1802"/>
      <c r="AE288" s="1802"/>
      <c r="AF288" s="1802"/>
      <c r="AG288" s="1802"/>
      <c r="AH288" s="1802"/>
      <c r="AI288" s="1802"/>
      <c r="AJ288" s="1802"/>
    </row>
    <row r="289" spans="1:29" x14ac:dyDescent="0.2">
      <c r="B289" s="83"/>
      <c r="C289" s="83"/>
      <c r="G289" s="75"/>
      <c r="H289" s="75"/>
      <c r="I289" s="75"/>
      <c r="J289" s="75"/>
      <c r="K289" s="75"/>
      <c r="L289" s="75"/>
      <c r="M289" s="75"/>
      <c r="N289" s="75"/>
      <c r="O289" s="75"/>
      <c r="P289" s="75"/>
      <c r="Q289" s="75"/>
      <c r="R289" s="75"/>
      <c r="S289" s="75"/>
      <c r="T289" s="75"/>
      <c r="U289" s="75"/>
      <c r="V289" s="75"/>
      <c r="W289" s="75"/>
      <c r="X289" s="75"/>
      <c r="Y289" s="75"/>
      <c r="Z289" s="75" t="s">
        <v>3651</v>
      </c>
      <c r="AA289" s="189" t="s">
        <v>4887</v>
      </c>
      <c r="AB289" s="75"/>
    </row>
    <row r="290" spans="1:29" x14ac:dyDescent="0.2">
      <c r="A290" s="1767"/>
      <c r="B290" s="1767"/>
      <c r="C290" s="1767"/>
      <c r="D290" s="1801" t="s">
        <v>4886</v>
      </c>
      <c r="E290" s="1766" t="s">
        <v>4885</v>
      </c>
      <c r="F290" s="1766" t="s">
        <v>4885</v>
      </c>
      <c r="G290" s="1766" t="s">
        <v>4885</v>
      </c>
      <c r="H290" s="1800"/>
      <c r="I290" s="1800" t="s">
        <v>3311</v>
      </c>
      <c r="J290" s="1800" t="s">
        <v>3311</v>
      </c>
      <c r="K290" s="1800" t="s">
        <v>3311</v>
      </c>
      <c r="L290" s="1799" t="s">
        <v>3650</v>
      </c>
      <c r="M290" s="1799" t="s">
        <v>3650</v>
      </c>
      <c r="N290" s="1799" t="s">
        <v>3650</v>
      </c>
      <c r="O290" s="1766" t="s">
        <v>4884</v>
      </c>
      <c r="P290" s="1766" t="s">
        <v>4884</v>
      </c>
      <c r="Q290" s="1766" t="s">
        <v>4884</v>
      </c>
      <c r="R290" s="189" t="s">
        <v>4883</v>
      </c>
      <c r="S290" s="75"/>
      <c r="T290" s="75"/>
      <c r="U290" s="75"/>
      <c r="V290" s="75"/>
      <c r="W290" s="75"/>
      <c r="X290" s="189"/>
      <c r="Y290" s="189"/>
      <c r="Z290" s="189"/>
      <c r="AA290" s="189"/>
      <c r="AB290" s="189"/>
    </row>
    <row r="291" spans="1:29" x14ac:dyDescent="0.2">
      <c r="A291" s="1767"/>
      <c r="B291" s="1798"/>
      <c r="C291" s="1767"/>
      <c r="D291" s="1767"/>
      <c r="E291" s="1766" t="s">
        <v>3807</v>
      </c>
      <c r="F291" s="1766" t="s">
        <v>3808</v>
      </c>
      <c r="G291" s="1766" t="s">
        <v>25</v>
      </c>
      <c r="H291" s="1790"/>
      <c r="I291" s="1795" t="s">
        <v>3807</v>
      </c>
      <c r="J291" s="1795" t="s">
        <v>3808</v>
      </c>
      <c r="K291" s="1795" t="s">
        <v>25</v>
      </c>
      <c r="L291" s="1799" t="s">
        <v>3807</v>
      </c>
      <c r="M291" s="1799" t="s">
        <v>3808</v>
      </c>
      <c r="N291" s="1799" t="s">
        <v>25</v>
      </c>
      <c r="O291" s="1766" t="s">
        <v>3807</v>
      </c>
      <c r="P291" s="1766" t="s">
        <v>3808</v>
      </c>
      <c r="Q291" s="1766" t="s">
        <v>25</v>
      </c>
      <c r="R291" s="75"/>
      <c r="S291" s="75"/>
      <c r="T291" s="75"/>
      <c r="U291" s="75"/>
      <c r="V291" s="75"/>
      <c r="W291" s="75"/>
      <c r="AA291" s="1766" t="s">
        <v>3807</v>
      </c>
      <c r="AB291" s="1766" t="s">
        <v>3808</v>
      </c>
      <c r="AC291" s="1766" t="s">
        <v>25</v>
      </c>
    </row>
    <row r="292" spans="1:29" x14ac:dyDescent="0.2">
      <c r="A292" s="1767"/>
      <c r="B292" s="1798"/>
      <c r="C292" s="1797" t="s">
        <v>4882</v>
      </c>
      <c r="D292" s="1796" t="s">
        <v>4881</v>
      </c>
      <c r="E292" s="1764">
        <f>Kulturen!H420</f>
        <v>0</v>
      </c>
      <c r="F292" s="1764">
        <f>Kulturen!H431</f>
        <v>0</v>
      </c>
      <c r="G292" s="1764">
        <f>Kulturen!H442</f>
        <v>0</v>
      </c>
      <c r="H292" s="1789" t="s">
        <v>4880</v>
      </c>
      <c r="I292" s="1795">
        <f>Kulturen!H186</f>
        <v>0</v>
      </c>
      <c r="J292" s="1795">
        <f>Kulturen!H195</f>
        <v>0</v>
      </c>
      <c r="K292" s="1795">
        <f>Kulturen!H204</f>
        <v>0</v>
      </c>
      <c r="L292" s="1765">
        <f>Kulturen!$H$643</f>
        <v>0</v>
      </c>
      <c r="M292" s="1765">
        <f>Kulturen!$H$653</f>
        <v>0</v>
      </c>
      <c r="N292" s="1765">
        <f>Kulturen!$H$663</f>
        <v>0</v>
      </c>
      <c r="O292" s="1764">
        <f>Kulturen!H420</f>
        <v>0</v>
      </c>
      <c r="P292" s="1764">
        <f>Kulturen!H431</f>
        <v>0</v>
      </c>
      <c r="Q292" s="1764">
        <f>Kulturen!H442</f>
        <v>0</v>
      </c>
      <c r="R292" s="75"/>
      <c r="S292" s="75"/>
      <c r="T292" s="75"/>
      <c r="U292" s="75"/>
      <c r="V292" s="75"/>
      <c r="W292" s="75"/>
      <c r="X292" s="75"/>
      <c r="Y292" s="75"/>
      <c r="Z292" s="75"/>
      <c r="AA292" s="75"/>
      <c r="AB292" s="75"/>
    </row>
    <row r="293" spans="1:29" x14ac:dyDescent="0.2">
      <c r="A293" s="1767"/>
      <c r="B293" s="1767"/>
      <c r="C293" s="1767" t="s">
        <v>4879</v>
      </c>
      <c r="D293" s="1767"/>
      <c r="E293" s="1792"/>
      <c r="F293" s="1792"/>
      <c r="G293" s="1792"/>
      <c r="H293" s="1789"/>
      <c r="I293" s="1794"/>
      <c r="J293" s="1794"/>
      <c r="K293" s="1794"/>
      <c r="L293" s="1793"/>
      <c r="M293" s="1793"/>
      <c r="N293" s="1793"/>
      <c r="O293" s="1792"/>
      <c r="P293" s="1792"/>
      <c r="Q293" s="1792"/>
      <c r="R293" s="75"/>
      <c r="S293" s="75"/>
      <c r="T293" s="75"/>
      <c r="U293" s="75"/>
      <c r="V293" s="75"/>
      <c r="W293" s="75"/>
      <c r="X293" s="75"/>
      <c r="Y293" s="75"/>
      <c r="Z293" s="75"/>
      <c r="AA293" s="75"/>
      <c r="AB293" s="75"/>
    </row>
    <row r="294" spans="1:29" x14ac:dyDescent="0.2">
      <c r="A294" s="1767"/>
      <c r="B294" s="1767"/>
      <c r="C294" s="1767"/>
      <c r="D294" s="1767"/>
      <c r="E294" s="1767"/>
      <c r="F294" s="1767"/>
      <c r="G294" s="1767"/>
      <c r="H294" s="1789"/>
      <c r="I294" s="1789"/>
      <c r="J294" s="1789"/>
      <c r="K294" s="1789"/>
      <c r="L294" s="1769"/>
      <c r="M294" s="1769"/>
      <c r="N294" s="1769"/>
      <c r="O294" s="1767"/>
      <c r="P294" s="1767"/>
      <c r="Q294" s="1767"/>
      <c r="R294" s="75"/>
      <c r="S294" s="75"/>
      <c r="T294" s="75"/>
      <c r="U294" s="75"/>
      <c r="V294" s="75"/>
      <c r="W294" s="75"/>
      <c r="X294" s="75"/>
      <c r="Y294" s="75"/>
      <c r="Z294" s="75"/>
      <c r="AA294" s="75"/>
      <c r="AB294" s="75"/>
    </row>
    <row r="295" spans="1:29" x14ac:dyDescent="0.2">
      <c r="A295" s="1767"/>
      <c r="B295" s="1767"/>
      <c r="C295" s="1767"/>
      <c r="D295" s="1791" t="s">
        <v>4878</v>
      </c>
      <c r="E295" s="1767"/>
      <c r="F295" s="1767"/>
      <c r="G295" s="1767"/>
      <c r="H295" s="1789"/>
      <c r="I295" s="1789"/>
      <c r="J295" s="1789"/>
      <c r="K295" s="1789"/>
      <c r="L295" s="1769"/>
      <c r="M295" s="1769"/>
      <c r="N295" s="1769"/>
      <c r="O295" s="1767"/>
      <c r="P295" s="1767"/>
      <c r="Q295" s="1767"/>
      <c r="R295" s="75"/>
      <c r="S295" s="75"/>
      <c r="T295" s="75"/>
      <c r="U295" s="75"/>
      <c r="V295" s="75"/>
      <c r="W295" s="75"/>
      <c r="X295" s="75"/>
      <c r="Y295" s="75"/>
      <c r="Z295" s="75"/>
      <c r="AA295" s="75"/>
      <c r="AB295" s="75"/>
    </row>
    <row r="296" spans="1:29" x14ac:dyDescent="0.2">
      <c r="A296" s="1767"/>
      <c r="B296" s="1767" t="s">
        <v>4877</v>
      </c>
      <c r="C296" s="1767"/>
      <c r="D296" s="1764" t="s">
        <v>3330</v>
      </c>
      <c r="E296" s="1776">
        <v>90</v>
      </c>
      <c r="F296" s="1776">
        <v>100</v>
      </c>
      <c r="G296" s="1776">
        <v>60</v>
      </c>
      <c r="H296" s="1790"/>
      <c r="I296" s="1790">
        <v>80</v>
      </c>
      <c r="J296" s="1790">
        <v>80</v>
      </c>
      <c r="K296" s="1790">
        <v>60</v>
      </c>
      <c r="L296" s="1777">
        <v>90</v>
      </c>
      <c r="M296" s="1777">
        <v>100</v>
      </c>
      <c r="N296" s="1777">
        <v>60</v>
      </c>
      <c r="O296" s="1776">
        <v>90</v>
      </c>
      <c r="P296" s="1776">
        <v>100</v>
      </c>
      <c r="Q296" s="1776">
        <v>60</v>
      </c>
      <c r="R296" s="75"/>
      <c r="S296" s="75"/>
      <c r="T296" s="75"/>
      <c r="U296" s="75"/>
      <c r="V296" s="75"/>
      <c r="W296" s="75"/>
      <c r="X296" s="75"/>
      <c r="Y296" s="75"/>
      <c r="Z296" s="75"/>
      <c r="AA296" s="75"/>
      <c r="AB296" s="75"/>
    </row>
    <row r="297" spans="1:29" x14ac:dyDescent="0.2">
      <c r="A297" s="1767"/>
      <c r="B297" s="1767" t="s">
        <v>4877</v>
      </c>
      <c r="C297" s="1767"/>
      <c r="D297" s="1764" t="s">
        <v>3335</v>
      </c>
      <c r="E297" s="1776">
        <v>40</v>
      </c>
      <c r="F297" s="1776">
        <v>50</v>
      </c>
      <c r="G297" s="1776">
        <v>30</v>
      </c>
      <c r="H297" s="1790"/>
      <c r="I297" s="1790">
        <v>40</v>
      </c>
      <c r="J297" s="1790">
        <v>40</v>
      </c>
      <c r="K297" s="1790">
        <v>30</v>
      </c>
      <c r="L297" s="1777">
        <v>40</v>
      </c>
      <c r="M297" s="1777">
        <v>50</v>
      </c>
      <c r="N297" s="1777">
        <v>30</v>
      </c>
      <c r="O297" s="1776">
        <v>40</v>
      </c>
      <c r="P297" s="1776">
        <v>50</v>
      </c>
      <c r="Q297" s="1776">
        <v>30</v>
      </c>
      <c r="R297" s="75"/>
      <c r="S297" s="75"/>
      <c r="T297" s="75"/>
      <c r="U297" s="75"/>
      <c r="V297" s="75"/>
      <c r="W297" s="75"/>
      <c r="X297" s="75"/>
      <c r="Y297" s="75"/>
      <c r="Z297" s="75"/>
      <c r="AA297" s="75"/>
      <c r="AB297" s="75"/>
    </row>
    <row r="298" spans="1:29" x14ac:dyDescent="0.2">
      <c r="A298" s="1767"/>
      <c r="B298" s="1767" t="s">
        <v>4877</v>
      </c>
      <c r="C298" s="1767"/>
      <c r="D298" s="1764" t="s">
        <v>3336</v>
      </c>
      <c r="E298" s="1776">
        <v>0</v>
      </c>
      <c r="F298" s="1776">
        <v>0</v>
      </c>
      <c r="G298" s="1776">
        <v>0</v>
      </c>
      <c r="H298" s="1790"/>
      <c r="I298" s="1790">
        <v>0</v>
      </c>
      <c r="J298" s="1790">
        <v>0</v>
      </c>
      <c r="K298" s="1790">
        <v>0</v>
      </c>
      <c r="L298" s="1777">
        <v>0</v>
      </c>
      <c r="M298" s="1777">
        <v>0</v>
      </c>
      <c r="N298" s="1777">
        <v>0</v>
      </c>
      <c r="O298" s="1776">
        <v>0</v>
      </c>
      <c r="P298" s="1776">
        <v>0</v>
      </c>
      <c r="Q298" s="1776">
        <v>0</v>
      </c>
      <c r="R298" s="75"/>
      <c r="S298" s="75"/>
      <c r="T298" s="75"/>
      <c r="U298" s="75"/>
      <c r="V298" s="75"/>
      <c r="W298" s="75"/>
      <c r="X298" s="75"/>
      <c r="Y298" s="75"/>
      <c r="Z298" s="75"/>
      <c r="AA298" s="75"/>
      <c r="AB298" s="75"/>
    </row>
    <row r="299" spans="1:29" x14ac:dyDescent="0.2">
      <c r="A299" s="1767"/>
      <c r="B299" s="1767" t="s">
        <v>4876</v>
      </c>
      <c r="C299" s="1767"/>
      <c r="D299" s="1764" t="s">
        <v>3337</v>
      </c>
      <c r="E299" s="1776">
        <v>0.5</v>
      </c>
      <c r="F299" s="1776">
        <v>0.5</v>
      </c>
      <c r="G299" s="1776">
        <v>0.5</v>
      </c>
      <c r="H299" s="1790"/>
      <c r="I299" s="1790">
        <v>0.5</v>
      </c>
      <c r="J299" s="1790">
        <v>0.5</v>
      </c>
      <c r="K299" s="1790">
        <v>0.5</v>
      </c>
      <c r="L299" s="1777">
        <v>0.5</v>
      </c>
      <c r="M299" s="1777">
        <v>0.5</v>
      </c>
      <c r="N299" s="1777">
        <v>0.5</v>
      </c>
      <c r="O299" s="1776">
        <v>0.5</v>
      </c>
      <c r="P299" s="1776">
        <v>0.5</v>
      </c>
      <c r="Q299" s="1776">
        <v>0.5</v>
      </c>
      <c r="R299" s="75"/>
      <c r="S299" s="75"/>
      <c r="T299" s="75"/>
      <c r="U299" s="75"/>
      <c r="V299" s="75"/>
      <c r="W299" s="75"/>
      <c r="X299" s="75"/>
      <c r="Y299" s="75"/>
      <c r="Z299" s="75"/>
      <c r="AA299" s="75"/>
      <c r="AB299" s="75"/>
    </row>
    <row r="300" spans="1:29" x14ac:dyDescent="0.2">
      <c r="A300" s="1767"/>
      <c r="B300" s="1767" t="s">
        <v>4876</v>
      </c>
      <c r="C300" s="1767"/>
      <c r="D300" s="1764" t="s">
        <v>3338</v>
      </c>
      <c r="E300" s="1776">
        <v>0</v>
      </c>
      <c r="F300" s="1776">
        <v>0</v>
      </c>
      <c r="G300" s="1776">
        <v>0</v>
      </c>
      <c r="H300" s="1790"/>
      <c r="I300" s="1790">
        <v>0</v>
      </c>
      <c r="J300" s="1790">
        <v>0</v>
      </c>
      <c r="K300" s="1790">
        <v>0</v>
      </c>
      <c r="L300" s="1777">
        <v>0</v>
      </c>
      <c r="M300" s="1777">
        <v>0</v>
      </c>
      <c r="N300" s="1777">
        <v>0</v>
      </c>
      <c r="O300" s="1776">
        <v>0</v>
      </c>
      <c r="P300" s="1776">
        <v>0</v>
      </c>
      <c r="Q300" s="1776">
        <v>0</v>
      </c>
      <c r="R300" s="75"/>
      <c r="S300" s="75"/>
      <c r="T300" s="75"/>
      <c r="U300" s="75"/>
      <c r="V300" s="75"/>
      <c r="W300" s="75"/>
      <c r="X300" s="75"/>
      <c r="Y300" s="75"/>
      <c r="Z300" s="75"/>
      <c r="AA300" s="75"/>
      <c r="AB300" s="75"/>
    </row>
    <row r="301" spans="1:29" x14ac:dyDescent="0.2">
      <c r="A301" s="1767"/>
      <c r="B301" s="1767"/>
      <c r="C301" s="1767"/>
      <c r="D301" s="1767"/>
      <c r="E301" s="1767"/>
      <c r="F301" s="1767"/>
      <c r="G301" s="1767"/>
      <c r="H301" s="1789"/>
      <c r="I301" s="1789"/>
      <c r="J301" s="1789"/>
      <c r="K301" s="1789"/>
      <c r="L301" s="1769"/>
      <c r="M301" s="1769"/>
      <c r="N301" s="1769"/>
      <c r="O301" s="1767"/>
      <c r="P301" s="1767"/>
      <c r="Q301" s="1767"/>
      <c r="R301" s="75"/>
      <c r="S301" s="75"/>
      <c r="T301" s="75"/>
      <c r="U301" s="75"/>
      <c r="V301" s="75"/>
      <c r="W301" s="75"/>
      <c r="X301" s="75"/>
      <c r="Y301" s="75"/>
      <c r="Z301" s="75"/>
      <c r="AA301" s="75"/>
      <c r="AB301" s="75"/>
    </row>
    <row r="302" spans="1:29" x14ac:dyDescent="0.2">
      <c r="A302" s="1767"/>
      <c r="B302" s="1767"/>
      <c r="C302" s="1767"/>
      <c r="D302" s="1767"/>
      <c r="E302" s="1767"/>
      <c r="F302" s="1767"/>
      <c r="G302" s="1767"/>
      <c r="H302" s="1789"/>
      <c r="I302" s="1789"/>
      <c r="J302" s="1789"/>
      <c r="K302" s="1789"/>
      <c r="L302" s="1769"/>
      <c r="M302" s="1769"/>
      <c r="N302" s="1769"/>
      <c r="O302" s="1767"/>
      <c r="P302" s="1767"/>
      <c r="Q302" s="1767"/>
      <c r="R302" s="75"/>
      <c r="S302" s="75"/>
      <c r="T302" s="75"/>
      <c r="U302" s="75"/>
      <c r="V302" s="75"/>
      <c r="W302" s="75"/>
      <c r="X302" s="75"/>
      <c r="Y302" s="75"/>
      <c r="Z302" s="75"/>
      <c r="AA302" s="75"/>
      <c r="AB302" s="75"/>
    </row>
    <row r="303" spans="1:29" x14ac:dyDescent="0.2">
      <c r="A303" s="1767"/>
      <c r="B303" s="1767"/>
      <c r="C303" s="1786"/>
      <c r="D303" s="1786">
        <f>COLUMNS($D$303:D303)</f>
        <v>1</v>
      </c>
      <c r="E303" s="1786">
        <f>COLUMNS($D$303:E303)</f>
        <v>2</v>
      </c>
      <c r="F303" s="1786">
        <f>COLUMNS($D$303:F303)</f>
        <v>3</v>
      </c>
      <c r="G303" s="1786">
        <f>COLUMNS($D$303:G303)</f>
        <v>4</v>
      </c>
      <c r="H303" s="1788">
        <f>COLUMNS($D$303:H303)</f>
        <v>5</v>
      </c>
      <c r="I303" s="1788">
        <f>COLUMNS($D$303:I303)</f>
        <v>6</v>
      </c>
      <c r="J303" s="1788">
        <f>COLUMNS($D$303:J303)</f>
        <v>7</v>
      </c>
      <c r="K303" s="1788">
        <f>COLUMNS($D$303:K303)</f>
        <v>8</v>
      </c>
      <c r="L303" s="1787">
        <f>COLUMNS($D$303:L303)</f>
        <v>9</v>
      </c>
      <c r="M303" s="1787">
        <f>COLUMNS($D$303:M303)</f>
        <v>10</v>
      </c>
      <c r="N303" s="1787">
        <f>COLUMNS($D$303:N303)</f>
        <v>11</v>
      </c>
      <c r="O303" s="1786">
        <f>COLUMNS($D$303:O303)</f>
        <v>12</v>
      </c>
      <c r="P303" s="1786">
        <f>COLUMNS($D$303:P303)</f>
        <v>13</v>
      </c>
      <c r="Q303" s="1786">
        <f>COLUMNS($D$303:Q303)</f>
        <v>14</v>
      </c>
      <c r="R303" s="75"/>
      <c r="S303" s="75"/>
      <c r="T303" s="75"/>
      <c r="U303" s="75"/>
      <c r="V303" s="75"/>
      <c r="W303" s="75"/>
      <c r="X303" s="75"/>
      <c r="Y303" s="75"/>
      <c r="Z303" s="75"/>
      <c r="AA303" s="75"/>
      <c r="AB303" s="75"/>
    </row>
    <row r="304" spans="1:29" x14ac:dyDescent="0.2">
      <c r="A304" s="1767"/>
      <c r="B304" s="1767"/>
      <c r="C304" s="1783"/>
      <c r="D304" s="1780" t="s">
        <v>3330</v>
      </c>
      <c r="E304" s="1776">
        <f t="shared" ref="E304:G305" si="4">E296</f>
        <v>90</v>
      </c>
      <c r="F304" s="1776">
        <f t="shared" si="4"/>
        <v>100</v>
      </c>
      <c r="G304" s="1776">
        <f t="shared" si="4"/>
        <v>60</v>
      </c>
      <c r="H304" s="1770"/>
      <c r="I304" s="1785">
        <f t="shared" ref="I304:Q304" si="5">I296</f>
        <v>80</v>
      </c>
      <c r="J304" s="1785">
        <f t="shared" si="5"/>
        <v>80</v>
      </c>
      <c r="K304" s="1784">
        <f t="shared" si="5"/>
        <v>60</v>
      </c>
      <c r="L304" s="1777">
        <f t="shared" si="5"/>
        <v>90</v>
      </c>
      <c r="M304" s="1777">
        <f t="shared" si="5"/>
        <v>100</v>
      </c>
      <c r="N304" s="1777">
        <f t="shared" si="5"/>
        <v>60</v>
      </c>
      <c r="O304" s="1776">
        <f t="shared" si="5"/>
        <v>90</v>
      </c>
      <c r="P304" s="1776">
        <f t="shared" si="5"/>
        <v>100</v>
      </c>
      <c r="Q304" s="1776">
        <f t="shared" si="5"/>
        <v>60</v>
      </c>
      <c r="R304" s="75"/>
      <c r="S304" s="75"/>
      <c r="T304" s="75"/>
      <c r="U304" s="75"/>
      <c r="V304" s="75"/>
      <c r="W304" s="75"/>
      <c r="X304" s="75"/>
      <c r="Y304" s="75"/>
      <c r="Z304" s="75"/>
      <c r="AA304" s="75"/>
      <c r="AB304" s="75"/>
    </row>
    <row r="305" spans="1:29" x14ac:dyDescent="0.2">
      <c r="A305" s="1767"/>
      <c r="B305" s="1767"/>
      <c r="C305" s="1783"/>
      <c r="D305" s="1780" t="s">
        <v>3335</v>
      </c>
      <c r="E305" s="1776">
        <f t="shared" si="4"/>
        <v>40</v>
      </c>
      <c r="F305" s="1776">
        <f t="shared" si="4"/>
        <v>50</v>
      </c>
      <c r="G305" s="1776">
        <f t="shared" si="4"/>
        <v>30</v>
      </c>
      <c r="H305" s="1770"/>
      <c r="I305" s="1785">
        <f t="shared" ref="I305:Q305" si="6">I297</f>
        <v>40</v>
      </c>
      <c r="J305" s="1785">
        <f t="shared" si="6"/>
        <v>40</v>
      </c>
      <c r="K305" s="1784">
        <f t="shared" si="6"/>
        <v>30</v>
      </c>
      <c r="L305" s="1777">
        <f t="shared" si="6"/>
        <v>40</v>
      </c>
      <c r="M305" s="1777">
        <f t="shared" si="6"/>
        <v>50</v>
      </c>
      <c r="N305" s="1777">
        <f t="shared" si="6"/>
        <v>30</v>
      </c>
      <c r="O305" s="1776">
        <f t="shared" si="6"/>
        <v>40</v>
      </c>
      <c r="P305" s="1776">
        <f t="shared" si="6"/>
        <v>50</v>
      </c>
      <c r="Q305" s="1776">
        <f t="shared" si="6"/>
        <v>30</v>
      </c>
      <c r="R305" s="75"/>
      <c r="S305" s="75"/>
      <c r="T305" s="75"/>
      <c r="U305" s="75"/>
      <c r="V305" s="75"/>
      <c r="W305" s="75"/>
      <c r="X305" s="75"/>
      <c r="Y305" s="75"/>
      <c r="Z305" s="75"/>
      <c r="AA305" s="75"/>
      <c r="AB305" s="75"/>
    </row>
    <row r="306" spans="1:29" x14ac:dyDescent="0.2">
      <c r="A306" s="1767"/>
      <c r="B306" s="1767"/>
      <c r="C306" s="1783"/>
      <c r="D306" s="1780" t="s">
        <v>3336</v>
      </c>
      <c r="E306" s="1776">
        <v>0</v>
      </c>
      <c r="F306" s="1776">
        <v>0</v>
      </c>
      <c r="G306" s="1776">
        <v>0</v>
      </c>
      <c r="H306" s="1785"/>
      <c r="I306" s="1785">
        <v>0</v>
      </c>
      <c r="J306" s="1785">
        <v>0</v>
      </c>
      <c r="K306" s="1784">
        <v>0</v>
      </c>
      <c r="L306" s="1777">
        <v>0</v>
      </c>
      <c r="M306" s="1777">
        <v>0</v>
      </c>
      <c r="N306" s="1777">
        <v>0</v>
      </c>
      <c r="O306" s="1776">
        <v>0</v>
      </c>
      <c r="P306" s="1776">
        <v>0</v>
      </c>
      <c r="Q306" s="1776">
        <v>0</v>
      </c>
      <c r="R306" s="75"/>
      <c r="S306" s="75"/>
      <c r="T306" s="75"/>
      <c r="U306" s="75"/>
      <c r="V306" s="75"/>
      <c r="W306" s="75"/>
      <c r="X306" s="75"/>
      <c r="Y306" s="75"/>
      <c r="Z306" s="75"/>
      <c r="AA306" s="75"/>
      <c r="AB306" s="75"/>
    </row>
    <row r="307" spans="1:29" x14ac:dyDescent="0.2">
      <c r="A307" s="1767"/>
      <c r="B307" s="1767"/>
      <c r="C307" s="1783"/>
      <c r="D307" s="1780" t="s">
        <v>3337</v>
      </c>
      <c r="E307" s="1776">
        <f>E292*E299*-1</f>
        <v>0</v>
      </c>
      <c r="F307" s="1776">
        <f>F292*F299*-1</f>
        <v>0</v>
      </c>
      <c r="G307" s="1776">
        <f>G292*G299*-1</f>
        <v>0</v>
      </c>
      <c r="H307" s="1770"/>
      <c r="I307" s="1770">
        <f t="shared" ref="I307:Q307" si="7">I292*I299*-1</f>
        <v>0</v>
      </c>
      <c r="J307" s="1770">
        <f t="shared" si="7"/>
        <v>0</v>
      </c>
      <c r="K307" s="1782">
        <f t="shared" si="7"/>
        <v>0</v>
      </c>
      <c r="L307" s="1777">
        <f t="shared" si="7"/>
        <v>0</v>
      </c>
      <c r="M307" s="1777">
        <f t="shared" si="7"/>
        <v>0</v>
      </c>
      <c r="N307" s="1777">
        <f t="shared" si="7"/>
        <v>0</v>
      </c>
      <c r="O307" s="1776">
        <f t="shared" si="7"/>
        <v>0</v>
      </c>
      <c r="P307" s="1776">
        <f t="shared" si="7"/>
        <v>0</v>
      </c>
      <c r="Q307" s="1776">
        <f t="shared" si="7"/>
        <v>0</v>
      </c>
      <c r="R307" s="75"/>
      <c r="S307" s="75"/>
      <c r="T307" s="75"/>
      <c r="U307" s="75"/>
      <c r="V307" s="75"/>
      <c r="W307" s="75"/>
      <c r="X307" s="75"/>
      <c r="Y307" s="75"/>
      <c r="Z307" s="75"/>
      <c r="AA307" s="75"/>
      <c r="AB307" s="75"/>
    </row>
    <row r="308" spans="1:29" x14ac:dyDescent="0.2">
      <c r="A308" s="1767"/>
      <c r="B308" s="1767"/>
      <c r="C308" s="1781"/>
      <c r="D308" s="1780" t="s">
        <v>3338</v>
      </c>
      <c r="E308" s="1776">
        <f>E292*-1</f>
        <v>0</v>
      </c>
      <c r="F308" s="1776">
        <f>F292*-1</f>
        <v>0</v>
      </c>
      <c r="G308" s="1776">
        <f>G292*-1</f>
        <v>0</v>
      </c>
      <c r="H308" s="1779"/>
      <c r="I308" s="1779">
        <f t="shared" ref="I308:Q308" si="8">I292*-1</f>
        <v>0</v>
      </c>
      <c r="J308" s="1779">
        <f t="shared" si="8"/>
        <v>0</v>
      </c>
      <c r="K308" s="1778">
        <f t="shared" si="8"/>
        <v>0</v>
      </c>
      <c r="L308" s="1777">
        <f t="shared" si="8"/>
        <v>0</v>
      </c>
      <c r="M308" s="1777">
        <f t="shared" si="8"/>
        <v>0</v>
      </c>
      <c r="N308" s="1777">
        <f t="shared" si="8"/>
        <v>0</v>
      </c>
      <c r="O308" s="1776">
        <f t="shared" si="8"/>
        <v>0</v>
      </c>
      <c r="P308" s="1776">
        <f t="shared" si="8"/>
        <v>0</v>
      </c>
      <c r="Q308" s="1776">
        <f t="shared" si="8"/>
        <v>0</v>
      </c>
      <c r="R308" s="75"/>
      <c r="S308" s="75"/>
      <c r="T308" s="75"/>
      <c r="U308" s="75"/>
      <c r="V308" s="75"/>
      <c r="W308" s="75"/>
      <c r="X308" s="75"/>
      <c r="Y308" s="75"/>
      <c r="Z308" s="75"/>
      <c r="AA308" s="75"/>
      <c r="AB308" s="75"/>
    </row>
    <row r="309" spans="1:29" ht="15" x14ac:dyDescent="0.25">
      <c r="A309" s="1767"/>
      <c r="B309" s="1767"/>
      <c r="C309" s="1775" t="s">
        <v>4875</v>
      </c>
      <c r="D309" s="1775"/>
      <c r="E309" s="1771" t="str">
        <f>IF($F$313="Hopfen",$O$309,$B$20)</f>
        <v>A</v>
      </c>
      <c r="F309" s="1771" t="str">
        <f>IF($F$313="Hopfen",$P$309,$C$20)</f>
        <v>A</v>
      </c>
      <c r="G309" s="1771" t="str">
        <f>IF($F$313="Hopfen",$Q$309,$D$20)</f>
        <v>A</v>
      </c>
      <c r="H309" s="1774"/>
      <c r="I309" s="1773" t="str">
        <f>B14</f>
        <v>A</v>
      </c>
      <c r="J309" s="1773" t="str">
        <f>C14</f>
        <v>A</v>
      </c>
      <c r="K309" s="1773" t="str">
        <f>D14</f>
        <v>A</v>
      </c>
      <c r="L309" s="1772" t="str">
        <f>B32</f>
        <v>A</v>
      </c>
      <c r="M309" s="1772" t="str">
        <f>C32</f>
        <v>A</v>
      </c>
      <c r="N309" s="1772" t="str">
        <f>D32</f>
        <v>A</v>
      </c>
      <c r="O309" s="1771" t="str">
        <f>B38</f>
        <v>A</v>
      </c>
      <c r="P309" s="1771" t="str">
        <f>C38</f>
        <v>A</v>
      </c>
      <c r="Q309" s="1771" t="str">
        <f>D38</f>
        <v>A</v>
      </c>
      <c r="R309" s="75"/>
      <c r="S309" s="75"/>
      <c r="T309" s="75"/>
      <c r="U309" s="75"/>
      <c r="V309" s="75"/>
      <c r="W309" s="75"/>
      <c r="X309" s="75"/>
      <c r="Y309" s="75"/>
      <c r="Z309" s="75"/>
      <c r="AA309" s="75"/>
      <c r="AB309" s="75"/>
    </row>
    <row r="310" spans="1:29" x14ac:dyDescent="0.2">
      <c r="A310" s="1767"/>
      <c r="B310" s="1767"/>
      <c r="C310" s="1767"/>
      <c r="D310" s="1767"/>
      <c r="E310" s="1767"/>
      <c r="F310" s="1767"/>
      <c r="G310" s="1767"/>
      <c r="H310" s="1770"/>
      <c r="I310" s="1770"/>
      <c r="J310" s="1770"/>
      <c r="K310" s="1770"/>
      <c r="L310" s="1769"/>
      <c r="M310" s="1769"/>
      <c r="N310" s="1769"/>
      <c r="O310" s="1767"/>
      <c r="P310" s="1767"/>
      <c r="Q310" s="1767"/>
      <c r="R310" s="75"/>
      <c r="S310" s="75"/>
      <c r="T310" s="75"/>
      <c r="U310" s="75"/>
      <c r="V310" s="75"/>
      <c r="W310" s="75"/>
      <c r="X310" s="75"/>
      <c r="Y310" s="75"/>
      <c r="Z310" s="75"/>
      <c r="AA310" s="75"/>
      <c r="AB310" s="75"/>
    </row>
    <row r="311" spans="1:29" x14ac:dyDescent="0.2">
      <c r="A311" s="1767"/>
      <c r="B311" s="1767"/>
      <c r="C311" s="1768" t="s">
        <v>3344</v>
      </c>
      <c r="D311" s="1767"/>
      <c r="E311" s="1764">
        <f>IF($F$313="Hopfen",O311,VLOOKUP(E$309,$D$304:$Q$308,E$303,FALSE))</f>
        <v>90</v>
      </c>
      <c r="F311" s="1764">
        <f>IF($F$313="Hopfen",P311,VLOOKUP(F$309,$D$304:$Q$308,F$303,FALSE))</f>
        <v>100</v>
      </c>
      <c r="G311" s="1764">
        <f>IF($F$313="Hopfen",Q311,VLOOKUP(G$309,$D$304:$Q$308,G$303,FALSE))</f>
        <v>60</v>
      </c>
      <c r="H311" s="1764"/>
      <c r="I311" s="1766">
        <f t="shared" ref="I311:Q311" si="9">VLOOKUP(I$309,$D$304:$Q$308,I$303,FALSE)</f>
        <v>80</v>
      </c>
      <c r="J311" s="1766">
        <f t="shared" si="9"/>
        <v>80</v>
      </c>
      <c r="K311" s="1766">
        <f t="shared" si="9"/>
        <v>60</v>
      </c>
      <c r="L311" s="1765">
        <f t="shared" si="9"/>
        <v>90</v>
      </c>
      <c r="M311" s="1765">
        <f t="shared" si="9"/>
        <v>100</v>
      </c>
      <c r="N311" s="1765">
        <f t="shared" si="9"/>
        <v>60</v>
      </c>
      <c r="O311" s="1764">
        <f t="shared" si="9"/>
        <v>90</v>
      </c>
      <c r="P311" s="1764">
        <f t="shared" si="9"/>
        <v>100</v>
      </c>
      <c r="Q311" s="1764">
        <f t="shared" si="9"/>
        <v>60</v>
      </c>
      <c r="R311" s="75"/>
      <c r="S311" s="75"/>
      <c r="T311" s="75"/>
      <c r="U311" s="75"/>
      <c r="V311" s="75"/>
      <c r="W311" s="75"/>
      <c r="X311" s="75"/>
      <c r="Y311" s="75"/>
      <c r="Z311" s="75"/>
      <c r="AA311" s="75"/>
      <c r="AB311" s="75"/>
    </row>
    <row r="312" spans="1:29" hidden="1" x14ac:dyDescent="0.2">
      <c r="C312" s="75"/>
      <c r="D312" s="75"/>
      <c r="H312" s="75"/>
      <c r="I312" s="75"/>
      <c r="J312" s="75"/>
      <c r="K312" s="75"/>
      <c r="L312" s="75"/>
      <c r="M312" s="75"/>
      <c r="N312" s="75"/>
      <c r="O312" s="75"/>
      <c r="P312" s="75"/>
      <c r="Q312" s="75"/>
      <c r="R312" s="75"/>
      <c r="S312" s="75"/>
      <c r="T312" s="75"/>
      <c r="U312" s="75"/>
      <c r="V312" s="75"/>
      <c r="W312" s="75"/>
      <c r="X312" s="75"/>
      <c r="Y312" s="75"/>
      <c r="Z312" s="75"/>
      <c r="AA312" s="75"/>
      <c r="AB312" s="75"/>
      <c r="AC312" s="75"/>
    </row>
    <row r="313" spans="1:29" ht="15" hidden="1" x14ac:dyDescent="0.25">
      <c r="B313" t="s">
        <v>4874</v>
      </c>
      <c r="C313" s="75"/>
      <c r="D313" s="75"/>
      <c r="F313" s="1755">
        <f>VLOOKUP(AB_Eingabe!M21,Kulturen!E12:AJ77,Kulturen!AJ8,FALSE)</f>
        <v>0</v>
      </c>
      <c r="H313" s="75"/>
      <c r="I313" s="75"/>
      <c r="J313" s="75"/>
      <c r="K313" s="75"/>
      <c r="L313" s="75"/>
      <c r="M313" s="75"/>
      <c r="N313" s="75"/>
      <c r="O313" s="75"/>
      <c r="P313" s="75"/>
      <c r="Q313" s="75"/>
      <c r="R313" s="75"/>
      <c r="S313" s="75"/>
      <c r="T313" s="75"/>
      <c r="U313" s="75"/>
      <c r="V313" s="75"/>
      <c r="W313" s="75"/>
      <c r="X313" s="75"/>
      <c r="Y313" s="75"/>
      <c r="Z313" s="75"/>
      <c r="AA313" s="75"/>
      <c r="AB313" s="75"/>
      <c r="AC313" s="75"/>
    </row>
    <row r="314" spans="1:29" hidden="1" x14ac:dyDescent="0.2">
      <c r="B314" t="s">
        <v>4873</v>
      </c>
      <c r="C314" s="75"/>
      <c r="D314" s="75"/>
      <c r="H314" s="75"/>
      <c r="I314" s="75"/>
      <c r="J314" s="75"/>
      <c r="K314" s="75"/>
      <c r="L314" s="75"/>
      <c r="M314" s="75"/>
      <c r="N314" s="75"/>
      <c r="O314" s="75"/>
      <c r="P314" s="75"/>
      <c r="Q314" s="75"/>
      <c r="R314" s="75"/>
      <c r="S314" s="75"/>
      <c r="T314" s="75"/>
      <c r="U314" s="75"/>
      <c r="V314" s="75"/>
      <c r="W314" s="75"/>
      <c r="X314" s="75"/>
      <c r="Y314" s="75"/>
      <c r="Z314" s="75"/>
      <c r="AA314" s="75"/>
      <c r="AB314" s="75"/>
      <c r="AC314" s="75"/>
    </row>
    <row r="315" spans="1:29" hidden="1" x14ac:dyDescent="0.2">
      <c r="B315" t="s">
        <v>4872</v>
      </c>
      <c r="C315" s="75"/>
      <c r="D315" s="75"/>
      <c r="H315" s="75"/>
      <c r="I315" s="75"/>
      <c r="J315" s="75"/>
      <c r="K315" s="75"/>
      <c r="L315" s="75"/>
      <c r="M315" s="75"/>
      <c r="N315" s="75"/>
      <c r="O315" s="75"/>
      <c r="P315" s="75"/>
      <c r="Q315" s="75"/>
      <c r="R315" s="75"/>
      <c r="S315" s="75"/>
      <c r="T315" s="75"/>
      <c r="U315" s="75"/>
      <c r="V315" s="75"/>
      <c r="W315" s="75"/>
      <c r="X315" s="75"/>
      <c r="Y315" s="75"/>
      <c r="Z315" s="75"/>
      <c r="AA315" s="75"/>
      <c r="AB315" s="75"/>
      <c r="AC315" s="75"/>
    </row>
    <row r="316" spans="1:29" hidden="1" x14ac:dyDescent="0.2">
      <c r="C316" s="75"/>
      <c r="D316" s="75"/>
      <c r="H316" s="75"/>
      <c r="I316" s="75"/>
      <c r="J316" s="75"/>
      <c r="K316" s="75"/>
      <c r="L316" s="75"/>
      <c r="M316" s="75"/>
      <c r="N316" s="75"/>
      <c r="O316" s="75"/>
      <c r="P316" s="75"/>
      <c r="Q316" s="75"/>
      <c r="R316" s="75"/>
      <c r="S316" s="75"/>
      <c r="T316" s="75"/>
      <c r="U316" s="75"/>
      <c r="V316" s="75"/>
      <c r="W316" s="75"/>
      <c r="X316" s="75"/>
      <c r="Y316" s="75"/>
      <c r="Z316" s="75"/>
      <c r="AA316" s="75"/>
      <c r="AB316" s="75"/>
      <c r="AC316" s="75"/>
    </row>
    <row r="317" spans="1:29" hidden="1" x14ac:dyDescent="0.2">
      <c r="C317" s="75"/>
      <c r="D317" s="75"/>
      <c r="H317" s="75"/>
      <c r="S317" s="75"/>
      <c r="T317" s="75"/>
      <c r="U317" s="75"/>
      <c r="V317" s="75"/>
      <c r="W317" s="75"/>
      <c r="X317" s="75"/>
      <c r="Y317" s="75"/>
      <c r="Z317" s="75"/>
      <c r="AA317" s="75"/>
      <c r="AB317" s="75"/>
      <c r="AC317" s="75"/>
    </row>
    <row r="318" spans="1:29" hidden="1" x14ac:dyDescent="0.2">
      <c r="C318" s="75"/>
      <c r="D318" s="75"/>
      <c r="H318" s="75"/>
      <c r="I318" s="75"/>
      <c r="J318" s="75"/>
      <c r="K318" s="75"/>
      <c r="L318" s="75"/>
      <c r="M318" s="75"/>
      <c r="N318" s="75"/>
      <c r="O318" s="75"/>
      <c r="P318" s="75"/>
      <c r="Q318" s="75"/>
      <c r="R318" s="75"/>
      <c r="S318" s="75"/>
      <c r="T318" s="75"/>
      <c r="U318" s="75"/>
      <c r="V318" s="75"/>
      <c r="W318" s="75"/>
      <c r="X318" s="75"/>
      <c r="Y318" s="75"/>
      <c r="Z318" s="75"/>
      <c r="AA318" s="75"/>
      <c r="AB318" s="75"/>
      <c r="AC318" s="75"/>
    </row>
    <row r="319" spans="1:29" ht="15" hidden="1" x14ac:dyDescent="0.25">
      <c r="B319" s="1755" t="s">
        <v>4871</v>
      </c>
      <c r="C319" s="75"/>
      <c r="D319" s="75"/>
      <c r="H319" s="75"/>
      <c r="I319" s="75"/>
      <c r="J319" s="75"/>
      <c r="K319" s="75"/>
      <c r="L319" s="75"/>
      <c r="M319" s="75"/>
      <c r="N319" s="75"/>
      <c r="O319" s="75"/>
      <c r="P319" s="75"/>
      <c r="Q319" s="75"/>
      <c r="R319" s="75"/>
      <c r="S319" s="75"/>
      <c r="T319" s="75"/>
      <c r="U319" s="75"/>
      <c r="V319" s="75"/>
      <c r="W319" s="75"/>
      <c r="X319" s="75"/>
      <c r="Y319" s="75"/>
      <c r="Z319" s="75"/>
      <c r="AA319" s="75"/>
      <c r="AB319" s="75"/>
      <c r="AC319" s="75"/>
    </row>
    <row r="320" spans="1:29" hidden="1" x14ac:dyDescent="0.2">
      <c r="C320" s="75"/>
      <c r="D320" s="75"/>
      <c r="H320" s="75"/>
      <c r="I320" s="75"/>
      <c r="J320" s="75"/>
      <c r="K320" s="75"/>
      <c r="L320" s="75"/>
      <c r="M320" s="75"/>
      <c r="N320" s="75"/>
      <c r="O320" s="75"/>
      <c r="P320" s="75"/>
      <c r="Q320" s="75"/>
      <c r="R320" s="75"/>
      <c r="S320" s="75"/>
      <c r="T320" s="75"/>
      <c r="U320" s="75"/>
      <c r="V320" s="75"/>
      <c r="W320" s="75"/>
      <c r="X320" s="75"/>
      <c r="Y320" s="75"/>
      <c r="Z320" s="75"/>
      <c r="AA320" s="75"/>
      <c r="AB320" s="75"/>
      <c r="AC320" s="75"/>
    </row>
    <row r="321" spans="2:29" ht="15" hidden="1" x14ac:dyDescent="0.25">
      <c r="B321" s="1755" t="s">
        <v>4870</v>
      </c>
      <c r="C321" s="1759"/>
      <c r="D321" s="1759"/>
      <c r="E321" s="1758">
        <f>OR_Eingabe!H35</f>
        <v>0</v>
      </c>
      <c r="F321" s="1755" t="s">
        <v>4837</v>
      </c>
      <c r="H321" s="75"/>
      <c r="I321" s="75"/>
      <c r="J321" s="75"/>
      <c r="K321" s="75"/>
      <c r="L321" s="75"/>
      <c r="M321" s="75"/>
      <c r="N321" s="75"/>
      <c r="O321" s="75"/>
      <c r="P321" s="75"/>
      <c r="Q321" s="75"/>
      <c r="R321" s="75"/>
      <c r="S321" s="75"/>
      <c r="T321" s="75"/>
      <c r="U321" s="75"/>
      <c r="V321" s="75"/>
      <c r="W321" s="75"/>
      <c r="X321" s="75"/>
      <c r="Y321" s="75"/>
      <c r="Z321" s="75"/>
      <c r="AA321" s="75"/>
      <c r="AB321" s="75"/>
      <c r="AC321" s="75"/>
    </row>
    <row r="322" spans="2:29" hidden="1" x14ac:dyDescent="0.2">
      <c r="B322" t="s">
        <v>4869</v>
      </c>
      <c r="C322" s="75"/>
      <c r="D322" s="83" t="s">
        <v>4844</v>
      </c>
      <c r="E322" s="83">
        <v>96.157314</v>
      </c>
      <c r="H322" s="75"/>
      <c r="I322" s="75"/>
      <c r="J322" s="75"/>
      <c r="K322" s="75"/>
      <c r="L322" s="75"/>
      <c r="M322" s="75"/>
      <c r="N322" s="75"/>
      <c r="O322" s="75"/>
      <c r="P322" s="75"/>
      <c r="Q322" s="75"/>
      <c r="R322" s="75"/>
      <c r="S322" s="75"/>
      <c r="T322" s="75"/>
      <c r="U322" s="75"/>
      <c r="V322" s="75"/>
      <c r="W322" s="75"/>
      <c r="X322" s="75"/>
      <c r="Y322" s="75"/>
      <c r="Z322" s="75"/>
      <c r="AA322" s="75"/>
      <c r="AB322" s="75"/>
      <c r="AC322" s="75"/>
    </row>
    <row r="323" spans="2:29" hidden="1" x14ac:dyDescent="0.2">
      <c r="C323" s="83"/>
      <c r="D323" s="83"/>
      <c r="E323">
        <v>8.8289639999999991</v>
      </c>
      <c r="H323" s="75"/>
      <c r="I323" s="75"/>
      <c r="J323" s="75"/>
      <c r="K323" s="75"/>
      <c r="L323" s="75"/>
      <c r="M323" s="75"/>
      <c r="N323" s="75"/>
      <c r="O323" s="75"/>
      <c r="P323" s="75"/>
      <c r="Q323" s="75"/>
      <c r="R323" s="75"/>
      <c r="S323" s="75"/>
      <c r="T323" s="75"/>
      <c r="U323" s="75"/>
      <c r="V323" s="75"/>
      <c r="W323" s="75"/>
      <c r="X323" s="75"/>
      <c r="Y323" s="75"/>
      <c r="Z323" s="75"/>
      <c r="AA323" s="75"/>
      <c r="AB323" s="75"/>
      <c r="AC323" s="75"/>
    </row>
    <row r="324" spans="2:29" hidden="1" x14ac:dyDescent="0.2">
      <c r="C324" s="75"/>
      <c r="D324" s="75"/>
      <c r="E324">
        <v>0.367925</v>
      </c>
      <c r="H324" s="75"/>
      <c r="I324" s="75"/>
      <c r="J324" s="75"/>
      <c r="K324" s="75"/>
      <c r="L324" s="75"/>
      <c r="M324" s="75"/>
      <c r="N324" s="75"/>
      <c r="O324" s="75"/>
      <c r="P324" s="75"/>
      <c r="Q324" s="75"/>
      <c r="R324" s="75"/>
      <c r="S324" s="75"/>
      <c r="T324" s="75"/>
      <c r="U324" s="75"/>
      <c r="V324" s="75"/>
      <c r="W324" s="75"/>
      <c r="X324" s="75"/>
      <c r="Y324" s="75"/>
      <c r="Z324" s="75"/>
      <c r="AA324" s="75"/>
      <c r="AB324" s="75"/>
      <c r="AC324" s="75"/>
    </row>
    <row r="325" spans="2:29" hidden="1" x14ac:dyDescent="0.2">
      <c r="C325" s="75"/>
      <c r="D325" s="75"/>
      <c r="E325">
        <v>5.7990000000000003E-3</v>
      </c>
      <c r="H325" s="75"/>
      <c r="I325" s="75"/>
      <c r="J325" s="75"/>
      <c r="K325" s="75"/>
      <c r="L325" s="75"/>
      <c r="M325" s="75"/>
      <c r="N325" s="75"/>
      <c r="O325" s="75"/>
      <c r="P325" s="75"/>
      <c r="Q325" s="75"/>
      <c r="R325" s="75"/>
      <c r="S325" s="75"/>
      <c r="T325" s="75"/>
      <c r="U325" s="75"/>
      <c r="V325" s="75"/>
      <c r="W325" s="75"/>
      <c r="X325" s="75"/>
      <c r="Y325" s="75"/>
      <c r="Z325" s="75"/>
      <c r="AA325" s="75"/>
      <c r="AB325" s="75"/>
      <c r="AC325" s="75"/>
    </row>
    <row r="326" spans="2:29" hidden="1" x14ac:dyDescent="0.2">
      <c r="C326" s="75"/>
      <c r="D326" s="75"/>
      <c r="H326" s="75"/>
      <c r="I326" s="75"/>
      <c r="J326" s="75"/>
      <c r="K326" s="75"/>
      <c r="L326" s="75"/>
      <c r="M326" s="75"/>
      <c r="N326" s="75"/>
      <c r="O326" s="75"/>
      <c r="P326" s="75"/>
      <c r="Q326" s="75"/>
      <c r="R326" s="75"/>
      <c r="S326" s="75"/>
      <c r="T326" s="75"/>
      <c r="U326" s="75"/>
      <c r="V326" s="75"/>
      <c r="W326" s="75"/>
      <c r="X326" s="75"/>
      <c r="Y326" s="75"/>
      <c r="Z326" s="75"/>
      <c r="AA326" s="75"/>
      <c r="AB326" s="75"/>
      <c r="AC326" s="75"/>
    </row>
    <row r="327" spans="2:29" hidden="1" x14ac:dyDescent="0.2">
      <c r="B327" t="s">
        <v>4843</v>
      </c>
      <c r="C327" s="75"/>
      <c r="D327" s="75"/>
      <c r="E327" s="1757">
        <f>E322-(E323*E321)+(E324*E321*E321)-(E325*E321*E321*E321)</f>
        <v>96.157314</v>
      </c>
      <c r="F327" s="74" t="s">
        <v>3703</v>
      </c>
      <c r="G327" t="s">
        <v>4868</v>
      </c>
      <c r="H327" s="75"/>
      <c r="I327" s="75"/>
      <c r="J327" s="75"/>
      <c r="K327" s="75"/>
      <c r="L327" s="75"/>
      <c r="M327" s="75"/>
      <c r="N327" s="75"/>
      <c r="O327" s="75"/>
      <c r="P327" s="75"/>
      <c r="Q327" s="75"/>
      <c r="R327" s="75"/>
      <c r="S327" s="75"/>
      <c r="T327" s="75"/>
      <c r="U327" s="75"/>
      <c r="V327" s="75"/>
      <c r="W327" s="75"/>
      <c r="X327" s="75"/>
      <c r="Y327" s="75"/>
      <c r="Z327" s="75"/>
      <c r="AA327" s="75"/>
      <c r="AB327" s="75"/>
      <c r="AC327" s="75"/>
    </row>
    <row r="328" spans="2:29" hidden="1" x14ac:dyDescent="0.2">
      <c r="C328" s="75"/>
      <c r="D328" s="75"/>
      <c r="G328" t="s">
        <v>4867</v>
      </c>
      <c r="H328" s="75"/>
      <c r="I328" s="75"/>
      <c r="J328" s="75"/>
      <c r="K328" s="75"/>
      <c r="L328" s="75"/>
      <c r="M328" s="75"/>
      <c r="N328" s="75"/>
      <c r="O328" s="75"/>
      <c r="P328" s="75"/>
      <c r="Q328" s="75"/>
      <c r="R328" s="75"/>
      <c r="S328" s="75"/>
      <c r="T328" s="75"/>
      <c r="U328" s="75"/>
      <c r="V328" s="75"/>
      <c r="W328" s="75"/>
      <c r="X328" s="75"/>
      <c r="Y328" s="75"/>
      <c r="Z328" s="75"/>
      <c r="AA328" s="75"/>
      <c r="AB328" s="75"/>
      <c r="AC328" s="75"/>
    </row>
    <row r="329" spans="2:29" hidden="1" x14ac:dyDescent="0.2">
      <c r="C329" s="75"/>
      <c r="D329" s="83" t="s">
        <v>4840</v>
      </c>
      <c r="E329">
        <v>7</v>
      </c>
      <c r="F329" t="s">
        <v>4837</v>
      </c>
      <c r="H329" s="75"/>
      <c r="I329" s="75"/>
      <c r="J329" s="75"/>
      <c r="K329" s="75"/>
      <c r="L329" s="75"/>
      <c r="M329" s="75"/>
      <c r="N329" s="75"/>
      <c r="O329" s="75"/>
      <c r="P329" s="75"/>
      <c r="Q329" s="75"/>
      <c r="R329" s="75"/>
      <c r="S329" s="75"/>
      <c r="T329" s="75"/>
      <c r="U329" s="75"/>
      <c r="V329" s="75"/>
      <c r="W329" s="75"/>
      <c r="X329" s="75"/>
      <c r="Y329" s="75"/>
      <c r="Z329" s="75"/>
      <c r="AA329" s="75"/>
      <c r="AB329" s="75"/>
      <c r="AC329" s="75"/>
    </row>
    <row r="330" spans="2:29" hidden="1" x14ac:dyDescent="0.2">
      <c r="C330" s="75"/>
      <c r="D330" s="75"/>
      <c r="E330">
        <v>100</v>
      </c>
      <c r="F330" t="s">
        <v>3828</v>
      </c>
      <c r="G330" t="s">
        <v>4866</v>
      </c>
      <c r="H330" s="75"/>
      <c r="I330" s="75"/>
      <c r="J330" s="75"/>
      <c r="K330" s="75"/>
      <c r="L330" s="75"/>
      <c r="M330" s="75"/>
      <c r="N330" s="75"/>
      <c r="O330" s="75"/>
      <c r="P330" s="75"/>
      <c r="Q330" s="75"/>
      <c r="R330" s="75"/>
      <c r="S330" s="75"/>
      <c r="T330" s="75"/>
      <c r="U330" s="75"/>
      <c r="V330" s="75"/>
      <c r="W330" s="75"/>
      <c r="X330" s="75"/>
      <c r="Y330" s="75"/>
      <c r="Z330" s="75"/>
      <c r="AA330" s="75"/>
      <c r="AB330" s="75"/>
      <c r="AC330" s="75"/>
    </row>
    <row r="331" spans="2:29" hidden="1" x14ac:dyDescent="0.2">
      <c r="C331" s="75"/>
      <c r="D331" s="75"/>
      <c r="H331" s="75"/>
      <c r="I331" s="75"/>
      <c r="J331" s="75"/>
      <c r="K331" s="75"/>
      <c r="L331" s="75"/>
      <c r="M331" s="75"/>
      <c r="N331" s="75"/>
      <c r="O331" s="75"/>
      <c r="P331" s="75"/>
      <c r="Q331" s="75"/>
      <c r="R331" s="75"/>
      <c r="S331" s="75"/>
      <c r="T331" s="75"/>
      <c r="U331" s="75"/>
      <c r="V331" s="75"/>
      <c r="W331" s="75"/>
      <c r="X331" s="75"/>
      <c r="Y331" s="75"/>
      <c r="Z331" s="75"/>
      <c r="AA331" s="75"/>
      <c r="AB331" s="75"/>
      <c r="AC331" s="75"/>
    </row>
    <row r="332" spans="2:29" hidden="1" x14ac:dyDescent="0.2">
      <c r="C332" s="75"/>
      <c r="D332" s="83" t="s">
        <v>4838</v>
      </c>
      <c r="E332">
        <v>28</v>
      </c>
      <c r="F332" t="s">
        <v>4837</v>
      </c>
      <c r="H332" s="75"/>
      <c r="I332" s="75"/>
      <c r="J332" s="75"/>
      <c r="K332" s="75"/>
      <c r="L332" s="75"/>
      <c r="M332" s="75"/>
      <c r="N332" s="75"/>
      <c r="O332" s="75"/>
      <c r="P332" s="75"/>
      <c r="Q332" s="75"/>
      <c r="R332" s="75"/>
      <c r="S332" s="75"/>
      <c r="T332" s="75"/>
      <c r="U332" s="75"/>
      <c r="V332" s="75"/>
      <c r="W332" s="75"/>
      <c r="X332" s="75"/>
      <c r="Y332" s="75"/>
      <c r="Z332" s="75"/>
      <c r="AA332" s="75"/>
      <c r="AB332" s="75"/>
      <c r="AC332" s="75"/>
    </row>
    <row r="333" spans="2:29" hidden="1" x14ac:dyDescent="0.2">
      <c r="C333" s="75"/>
      <c r="D333" s="75"/>
      <c r="E333">
        <v>0</v>
      </c>
      <c r="F333" t="s">
        <v>3828</v>
      </c>
      <c r="G333" t="s">
        <v>4865</v>
      </c>
      <c r="H333" s="75"/>
      <c r="I333" s="75"/>
      <c r="J333" s="75"/>
      <c r="K333" s="75"/>
      <c r="L333" s="75"/>
      <c r="M333" s="75"/>
      <c r="N333" s="75"/>
      <c r="O333" s="75"/>
      <c r="P333" s="75"/>
      <c r="Q333" s="75"/>
      <c r="R333" s="75"/>
      <c r="S333" s="75"/>
      <c r="T333" s="75"/>
      <c r="U333" s="75"/>
      <c r="V333" s="75"/>
      <c r="W333" s="75"/>
      <c r="X333" s="75"/>
      <c r="Y333" s="75"/>
      <c r="Z333" s="75"/>
      <c r="AA333" s="75"/>
      <c r="AB333" s="75"/>
      <c r="AC333" s="75"/>
    </row>
    <row r="334" spans="2:29" hidden="1" x14ac:dyDescent="0.2">
      <c r="C334" s="75"/>
      <c r="D334" s="75"/>
      <c r="H334" s="75"/>
      <c r="I334" s="75"/>
      <c r="J334" s="75"/>
      <c r="K334" s="75"/>
      <c r="L334" s="75"/>
      <c r="M334" s="75"/>
      <c r="N334" s="75"/>
      <c r="O334" s="75"/>
      <c r="P334" s="75"/>
      <c r="Q334" s="75"/>
      <c r="R334" s="75"/>
      <c r="S334" s="75"/>
      <c r="T334" s="75"/>
      <c r="U334" s="75"/>
      <c r="V334" s="75"/>
      <c r="W334" s="75"/>
      <c r="X334" s="75"/>
      <c r="Y334" s="75"/>
      <c r="Z334" s="75"/>
      <c r="AA334" s="75"/>
      <c r="AB334" s="75"/>
      <c r="AC334" s="75"/>
    </row>
    <row r="335" spans="2:29" ht="15" hidden="1" x14ac:dyDescent="0.25">
      <c r="B335" s="1755" t="s">
        <v>4835</v>
      </c>
      <c r="C335" s="75"/>
      <c r="D335" s="75"/>
      <c r="E335" s="1756">
        <f>IF(E321&gt;20,0,IF(E321&lt;E329,E330,IF(E321&gt;E332,E333,E327)))</f>
        <v>100</v>
      </c>
      <c r="F335" s="1755" t="s">
        <v>3565</v>
      </c>
      <c r="G335" s="106" t="s">
        <v>4864</v>
      </c>
      <c r="H335" s="75"/>
      <c r="I335" s="75"/>
      <c r="J335" s="75"/>
      <c r="K335" s="75"/>
      <c r="L335" s="75"/>
      <c r="M335" s="75"/>
      <c r="N335" s="75"/>
      <c r="O335" s="75"/>
      <c r="P335" s="75"/>
      <c r="Q335" s="75"/>
      <c r="R335" s="75"/>
      <c r="S335" s="75"/>
      <c r="T335" s="75"/>
      <c r="U335" s="75"/>
      <c r="V335" s="75"/>
      <c r="W335" s="75"/>
      <c r="X335" s="75"/>
      <c r="Y335" s="75"/>
      <c r="Z335" s="75"/>
      <c r="AA335" s="75"/>
      <c r="AB335" s="75"/>
      <c r="AC335" s="75"/>
    </row>
    <row r="336" spans="2:29" ht="15" hidden="1" x14ac:dyDescent="0.25">
      <c r="B336" s="1755"/>
      <c r="C336" s="75"/>
      <c r="D336" s="75"/>
      <c r="E336" s="1756"/>
      <c r="F336" s="1755"/>
      <c r="G336" s="106"/>
      <c r="H336" s="75"/>
      <c r="I336" s="75"/>
      <c r="J336" s="75"/>
      <c r="K336" s="75"/>
      <c r="L336" s="75"/>
      <c r="M336" s="75"/>
      <c r="N336" s="75"/>
      <c r="O336" s="75"/>
      <c r="P336" s="75"/>
      <c r="Q336" s="75"/>
      <c r="R336" s="75"/>
      <c r="S336" s="75"/>
      <c r="T336" s="75"/>
      <c r="U336" s="75"/>
      <c r="V336" s="75"/>
      <c r="W336" s="75"/>
      <c r="X336" s="75"/>
      <c r="Y336" s="75"/>
      <c r="Z336" s="75"/>
      <c r="AA336" s="75"/>
      <c r="AB336" s="75"/>
      <c r="AC336" s="75"/>
    </row>
    <row r="337" spans="2:29" hidden="1" x14ac:dyDescent="0.2">
      <c r="C337" s="75"/>
      <c r="D337" s="75"/>
      <c r="H337" s="75"/>
      <c r="I337" s="75"/>
      <c r="J337" s="75"/>
      <c r="K337" s="75"/>
      <c r="L337" s="75"/>
      <c r="M337" s="75"/>
      <c r="N337" s="75"/>
      <c r="O337" s="75"/>
      <c r="P337" s="75"/>
      <c r="Q337" s="75"/>
      <c r="R337" s="75"/>
      <c r="S337" s="75"/>
      <c r="T337" s="75"/>
      <c r="U337" s="75"/>
      <c r="V337" s="75"/>
      <c r="W337" s="75"/>
      <c r="X337" s="75"/>
      <c r="Y337" s="75"/>
      <c r="Z337" s="75"/>
      <c r="AA337" s="75"/>
      <c r="AB337" s="75"/>
      <c r="AC337" s="75"/>
    </row>
    <row r="338" spans="2:29" ht="15" hidden="1" x14ac:dyDescent="0.25">
      <c r="B338" s="1755" t="s">
        <v>4863</v>
      </c>
      <c r="C338" s="1759"/>
      <c r="D338" s="1755">
        <f>OR_Eingabe!I35</f>
        <v>0</v>
      </c>
      <c r="E338" s="1755" t="s">
        <v>4837</v>
      </c>
      <c r="H338" s="75"/>
      <c r="I338" s="75"/>
      <c r="J338" s="75"/>
      <c r="K338" s="75"/>
      <c r="L338" s="75"/>
      <c r="M338" s="75"/>
      <c r="N338" s="75"/>
      <c r="O338" s="75"/>
      <c r="P338" s="75"/>
      <c r="Q338" s="75"/>
      <c r="R338" s="75"/>
      <c r="S338" s="75"/>
      <c r="T338" s="75"/>
      <c r="U338" s="75"/>
      <c r="V338" s="75"/>
      <c r="W338" s="75"/>
      <c r="X338" s="75"/>
      <c r="Y338" s="75"/>
      <c r="Z338" s="75"/>
      <c r="AA338" s="75"/>
      <c r="AB338" s="75"/>
      <c r="AC338" s="75"/>
    </row>
    <row r="339" spans="2:29" ht="15" hidden="1" x14ac:dyDescent="0.25">
      <c r="B339" s="1755"/>
      <c r="C339" s="1759"/>
      <c r="D339" s="1755"/>
      <c r="E339" s="1755"/>
      <c r="H339" s="75"/>
      <c r="I339" s="75"/>
      <c r="J339" s="75"/>
      <c r="K339" s="75"/>
      <c r="L339" s="75"/>
      <c r="M339" s="75"/>
      <c r="N339" s="75"/>
      <c r="O339" s="75"/>
      <c r="P339" s="75"/>
      <c r="Q339" s="75"/>
      <c r="R339" s="75"/>
      <c r="S339" s="75"/>
      <c r="T339" s="75"/>
      <c r="U339" s="75"/>
      <c r="V339" s="75"/>
      <c r="W339" s="75"/>
      <c r="X339" s="75"/>
      <c r="Y339" s="75"/>
      <c r="Z339" s="75"/>
      <c r="AA339" s="75"/>
      <c r="AB339" s="75"/>
      <c r="AC339" s="75"/>
    </row>
    <row r="340" spans="2:29" hidden="1" x14ac:dyDescent="0.2">
      <c r="B340" s="75" t="s">
        <v>4862</v>
      </c>
      <c r="C340" s="75"/>
      <c r="D340" s="1763">
        <f>OR_Eingabe!$M$33</f>
        <v>4</v>
      </c>
      <c r="E340" s="189" t="str">
        <f>VLOOKUP(D340,Bodenarten!B10:F16,Bodenarten!C2,FALSE)</f>
        <v>sandiger bis schluffiger Lehm, sL - uL</v>
      </c>
      <c r="H340" s="75"/>
      <c r="I340" s="75"/>
      <c r="J340" s="75"/>
      <c r="K340" s="75"/>
      <c r="L340" s="75"/>
      <c r="M340" s="75"/>
      <c r="N340" s="75"/>
      <c r="O340" s="75"/>
      <c r="P340" s="75"/>
      <c r="Q340" s="75"/>
      <c r="R340" s="75"/>
      <c r="S340" s="75"/>
      <c r="T340" s="75"/>
      <c r="U340" s="75"/>
      <c r="V340" s="75"/>
      <c r="W340" s="75"/>
      <c r="X340" s="75"/>
      <c r="Y340" s="75"/>
      <c r="Z340" s="75"/>
      <c r="AA340" s="75"/>
      <c r="AB340" s="75"/>
      <c r="AC340" s="75"/>
    </row>
    <row r="341" spans="2:29" ht="15" hidden="1" x14ac:dyDescent="0.25">
      <c r="B341" s="1759" t="s">
        <v>4861</v>
      </c>
      <c r="C341" s="1759"/>
      <c r="D341" s="1762" t="str">
        <f>VLOOKUP($D$340,Bodenarten!$B$10:$F$16,Bodenarten!$F$2,FALSE)</f>
        <v>A</v>
      </c>
      <c r="E341" s="189"/>
      <c r="H341" s="75"/>
      <c r="I341" s="75"/>
      <c r="J341" s="75"/>
      <c r="K341" s="75"/>
      <c r="L341" s="75"/>
      <c r="M341" s="75"/>
      <c r="N341" s="75"/>
      <c r="O341" s="75"/>
      <c r="P341" s="75"/>
      <c r="Q341" s="75"/>
      <c r="R341" s="75"/>
      <c r="S341" s="75"/>
      <c r="T341" s="75"/>
      <c r="U341" s="75"/>
      <c r="V341" s="75"/>
      <c r="W341" s="75"/>
      <c r="X341" s="75"/>
      <c r="Y341" s="75"/>
      <c r="Z341" s="75"/>
      <c r="AA341" s="75"/>
      <c r="AB341" s="75"/>
      <c r="AC341" s="75"/>
    </row>
    <row r="342" spans="2:29" hidden="1" x14ac:dyDescent="0.2">
      <c r="B342" s="75"/>
      <c r="C342" s="75"/>
      <c r="D342" s="1761"/>
      <c r="E342" s="189"/>
      <c r="H342" s="75"/>
      <c r="I342" s="75"/>
      <c r="J342" s="75"/>
      <c r="K342" s="75"/>
      <c r="L342" s="75"/>
      <c r="M342" s="75"/>
      <c r="N342" s="75"/>
      <c r="O342" s="75"/>
      <c r="P342" s="75"/>
      <c r="Q342" s="75"/>
      <c r="R342" s="75"/>
      <c r="S342" s="75"/>
      <c r="T342" s="75"/>
      <c r="U342" s="75"/>
      <c r="V342" s="75"/>
      <c r="W342" s="75"/>
      <c r="X342" s="75"/>
      <c r="Y342" s="75"/>
      <c r="Z342" s="75"/>
      <c r="AA342" s="75"/>
      <c r="AB342" s="75"/>
      <c r="AC342" s="75"/>
    </row>
    <row r="343" spans="2:29" ht="15" hidden="1" x14ac:dyDescent="0.25">
      <c r="B343" s="1755" t="s">
        <v>4860</v>
      </c>
      <c r="C343" s="75"/>
      <c r="D343" s="83" t="s">
        <v>4844</v>
      </c>
      <c r="E343">
        <v>320.83</v>
      </c>
      <c r="H343" s="75"/>
      <c r="I343" s="75"/>
      <c r="J343" s="75"/>
      <c r="K343" s="75"/>
      <c r="L343" s="75"/>
      <c r="M343" s="75"/>
      <c r="N343" s="75"/>
      <c r="O343" s="75"/>
      <c r="P343" s="75"/>
      <c r="Q343" s="75"/>
      <c r="R343" s="75"/>
      <c r="S343" s="75"/>
      <c r="T343" s="75"/>
      <c r="U343" s="75"/>
      <c r="V343" s="75"/>
      <c r="W343" s="75"/>
      <c r="X343" s="75"/>
      <c r="Y343" s="75"/>
      <c r="Z343" s="75"/>
      <c r="AA343" s="75"/>
      <c r="AB343" s="75"/>
      <c r="AC343" s="75"/>
    </row>
    <row r="344" spans="2:29" hidden="1" x14ac:dyDescent="0.2">
      <c r="C344" s="75"/>
      <c r="D344" s="75"/>
      <c r="E344">
        <v>31.856999999999999</v>
      </c>
      <c r="H344" s="75"/>
      <c r="I344" s="75"/>
      <c r="J344" s="75"/>
      <c r="K344" s="75"/>
      <c r="L344" s="75"/>
      <c r="M344" s="75"/>
      <c r="N344" s="75"/>
      <c r="O344" s="75"/>
      <c r="P344" s="75"/>
      <c r="Q344" s="75"/>
      <c r="R344" s="75"/>
      <c r="S344" s="75"/>
      <c r="T344" s="75"/>
      <c r="U344" s="75"/>
      <c r="V344" s="75"/>
      <c r="W344" s="75"/>
      <c r="X344" s="75"/>
      <c r="Y344" s="75"/>
      <c r="Z344" s="75"/>
      <c r="AA344" s="75"/>
      <c r="AB344" s="75"/>
      <c r="AC344" s="75"/>
    </row>
    <row r="345" spans="2:29" hidden="1" x14ac:dyDescent="0.2">
      <c r="C345" s="75"/>
      <c r="D345" s="75"/>
      <c r="E345">
        <v>1.3582000000000001</v>
      </c>
      <c r="H345" s="75"/>
      <c r="I345" s="75"/>
      <c r="J345" s="75"/>
      <c r="K345" s="75"/>
      <c r="L345" s="75"/>
      <c r="M345" s="75"/>
      <c r="N345" s="75"/>
      <c r="O345" s="75"/>
      <c r="P345" s="75"/>
      <c r="Q345" s="75"/>
      <c r="R345" s="75"/>
      <c r="S345" s="75"/>
      <c r="T345" s="75"/>
      <c r="U345" s="75"/>
      <c r="V345" s="75"/>
      <c r="W345" s="75"/>
      <c r="X345" s="75"/>
      <c r="Y345" s="75"/>
      <c r="Z345" s="75"/>
      <c r="AA345" s="75"/>
      <c r="AB345" s="75"/>
      <c r="AC345" s="75"/>
    </row>
    <row r="346" spans="2:29" hidden="1" x14ac:dyDescent="0.2">
      <c r="C346" s="75"/>
      <c r="D346" s="75"/>
      <c r="E346">
        <v>2.0299999999999999E-2</v>
      </c>
      <c r="H346" s="75"/>
      <c r="I346" s="75"/>
      <c r="J346" s="75"/>
      <c r="K346" s="75"/>
      <c r="L346" s="75"/>
      <c r="M346" s="75"/>
      <c r="N346" s="75"/>
      <c r="O346" s="75"/>
      <c r="P346" s="75"/>
      <c r="Q346" s="75"/>
      <c r="R346" s="75"/>
      <c r="S346" s="75"/>
      <c r="T346" s="75"/>
      <c r="U346" s="75"/>
      <c r="V346" s="75"/>
      <c r="W346" s="75"/>
      <c r="X346" s="75"/>
      <c r="Y346" s="75"/>
      <c r="Z346" s="75"/>
      <c r="AA346" s="75"/>
      <c r="AB346" s="75"/>
      <c r="AC346" s="75"/>
    </row>
    <row r="347" spans="2:29" hidden="1" x14ac:dyDescent="0.2">
      <c r="C347" s="75"/>
      <c r="D347" s="75"/>
      <c r="H347" s="75"/>
      <c r="I347" s="75"/>
      <c r="J347" s="75"/>
      <c r="K347" s="75"/>
      <c r="L347" s="75"/>
      <c r="M347" s="75"/>
      <c r="N347" s="75"/>
      <c r="O347" s="75"/>
      <c r="P347" s="75"/>
      <c r="Q347" s="75"/>
      <c r="R347" s="75"/>
      <c r="S347" s="75"/>
      <c r="T347" s="75"/>
      <c r="U347" s="75"/>
      <c r="V347" s="75"/>
      <c r="W347" s="75"/>
      <c r="X347" s="75"/>
      <c r="Y347" s="75"/>
      <c r="Z347" s="75"/>
      <c r="AA347" s="75"/>
      <c r="AB347" s="75"/>
      <c r="AC347" s="75"/>
    </row>
    <row r="348" spans="2:29" ht="15" hidden="1" x14ac:dyDescent="0.25">
      <c r="B348" t="s">
        <v>4859</v>
      </c>
      <c r="C348" s="75"/>
      <c r="D348" s="75"/>
      <c r="E348">
        <f>$E$343-($E$344*$D$338)+($E$345*$D$338*$D$338)-($E$346*$D$338*$D$338*$D$338)</f>
        <v>320.83</v>
      </c>
      <c r="F348" s="74" t="s">
        <v>3703</v>
      </c>
      <c r="G348" t="s">
        <v>4858</v>
      </c>
      <c r="H348" s="75"/>
      <c r="I348" s="75"/>
      <c r="J348" s="75"/>
      <c r="K348" s="75"/>
      <c r="L348" s="75"/>
      <c r="M348" s="75"/>
      <c r="N348" s="75"/>
      <c r="O348" s="75"/>
      <c r="P348" s="75"/>
      <c r="Q348" s="75"/>
      <c r="R348" s="75"/>
      <c r="S348" s="75"/>
      <c r="T348" s="75"/>
      <c r="U348" s="75"/>
      <c r="V348" s="75"/>
      <c r="W348" s="75"/>
      <c r="X348" s="75"/>
      <c r="Y348" s="75"/>
      <c r="Z348" s="75"/>
      <c r="AA348" s="75"/>
      <c r="AB348" s="75"/>
      <c r="AC348" s="75"/>
    </row>
    <row r="349" spans="2:29" hidden="1" x14ac:dyDescent="0.2">
      <c r="C349" s="75"/>
      <c r="D349" s="75"/>
      <c r="G349" t="s">
        <v>4851</v>
      </c>
      <c r="H349" s="75"/>
      <c r="I349" s="75"/>
      <c r="J349" s="75"/>
      <c r="K349" s="75"/>
      <c r="L349" s="75"/>
      <c r="M349" s="75"/>
      <c r="N349" s="75"/>
      <c r="O349" s="75"/>
      <c r="P349" s="75"/>
      <c r="Q349" s="75"/>
      <c r="R349" s="75"/>
      <c r="S349" s="75"/>
      <c r="T349" s="75"/>
      <c r="U349" s="75"/>
      <c r="V349" s="75"/>
      <c r="W349" s="75"/>
      <c r="X349" s="75"/>
      <c r="Y349" s="75"/>
      <c r="Z349" s="75"/>
      <c r="AA349" s="75"/>
      <c r="AB349" s="75"/>
      <c r="AC349" s="75"/>
    </row>
    <row r="350" spans="2:29" hidden="1" x14ac:dyDescent="0.2">
      <c r="C350" s="75"/>
      <c r="D350" s="75"/>
      <c r="H350" s="75"/>
      <c r="I350" s="75"/>
      <c r="J350" s="75"/>
      <c r="K350" s="75"/>
      <c r="L350" s="75"/>
      <c r="M350" s="75"/>
      <c r="N350" s="75"/>
      <c r="O350" s="75"/>
      <c r="P350" s="75"/>
      <c r="Q350" s="75"/>
      <c r="R350" s="75"/>
      <c r="S350" s="75"/>
      <c r="T350" s="75"/>
      <c r="U350" s="75"/>
      <c r="V350" s="75"/>
      <c r="W350" s="75"/>
      <c r="X350" s="75"/>
      <c r="Y350" s="75"/>
      <c r="Z350" s="75"/>
      <c r="AA350" s="75"/>
      <c r="AB350" s="75"/>
      <c r="AC350" s="75"/>
    </row>
    <row r="351" spans="2:29" hidden="1" x14ac:dyDescent="0.2">
      <c r="C351" s="75"/>
      <c r="D351" s="83" t="s">
        <v>4840</v>
      </c>
      <c r="E351">
        <v>7</v>
      </c>
      <c r="F351" t="s">
        <v>4837</v>
      </c>
      <c r="G351" t="s">
        <v>4857</v>
      </c>
      <c r="H351" s="75"/>
      <c r="I351" s="75"/>
      <c r="J351" s="75"/>
      <c r="K351" s="75"/>
      <c r="L351" s="75"/>
      <c r="M351" s="75"/>
      <c r="N351" s="75"/>
      <c r="O351" s="75"/>
      <c r="P351" s="75"/>
      <c r="Q351" s="75"/>
      <c r="R351" s="75"/>
      <c r="S351" s="75"/>
      <c r="T351" s="75"/>
      <c r="U351" s="75"/>
      <c r="V351" s="75"/>
      <c r="W351" s="75"/>
      <c r="X351" s="75"/>
      <c r="Y351" s="75"/>
      <c r="Z351" s="75"/>
      <c r="AA351" s="75"/>
      <c r="AB351" s="75"/>
      <c r="AC351" s="75"/>
    </row>
    <row r="352" spans="2:29" hidden="1" x14ac:dyDescent="0.2">
      <c r="C352" s="75"/>
      <c r="D352" s="75"/>
      <c r="E352">
        <v>180</v>
      </c>
      <c r="F352" t="s">
        <v>4848</v>
      </c>
      <c r="H352" s="75"/>
      <c r="I352" s="75"/>
      <c r="J352" s="75"/>
      <c r="K352" s="75"/>
      <c r="L352" s="75"/>
      <c r="M352" s="75"/>
      <c r="N352" s="75"/>
      <c r="O352" s="75"/>
      <c r="P352" s="75"/>
      <c r="Q352" s="75"/>
      <c r="R352" s="75"/>
      <c r="S352" s="75"/>
      <c r="T352" s="75"/>
      <c r="U352" s="75"/>
      <c r="V352" s="75"/>
      <c r="W352" s="75"/>
      <c r="X352" s="75"/>
      <c r="Y352" s="75"/>
      <c r="Z352" s="75"/>
      <c r="AA352" s="75"/>
      <c r="AB352" s="75"/>
      <c r="AC352" s="75"/>
    </row>
    <row r="353" spans="2:29" hidden="1" x14ac:dyDescent="0.2">
      <c r="C353" s="75"/>
      <c r="D353" s="75"/>
      <c r="H353" s="75"/>
      <c r="I353" s="75"/>
      <c r="J353" s="75"/>
      <c r="K353" s="75"/>
      <c r="L353" s="75"/>
      <c r="M353" s="75"/>
      <c r="N353" s="75"/>
      <c r="O353" s="75"/>
      <c r="P353" s="75"/>
      <c r="Q353" s="75"/>
      <c r="R353" s="75"/>
      <c r="S353" s="75"/>
      <c r="T353" s="75"/>
      <c r="U353" s="75"/>
      <c r="V353" s="75"/>
      <c r="W353" s="75"/>
      <c r="X353" s="75"/>
      <c r="Y353" s="75"/>
      <c r="Z353" s="75"/>
      <c r="AA353" s="75"/>
      <c r="AB353" s="75"/>
      <c r="AC353" s="75"/>
    </row>
    <row r="354" spans="2:29" hidden="1" x14ac:dyDescent="0.2">
      <c r="C354" s="75"/>
      <c r="D354" s="83" t="s">
        <v>4838</v>
      </c>
      <c r="E354">
        <v>34</v>
      </c>
      <c r="F354" t="s">
        <v>4837</v>
      </c>
      <c r="G354" t="s">
        <v>4856</v>
      </c>
      <c r="H354" s="75"/>
      <c r="I354" s="75"/>
      <c r="J354" s="75"/>
      <c r="K354" s="75"/>
      <c r="L354" s="75"/>
      <c r="M354" s="75"/>
      <c r="N354" s="75"/>
      <c r="O354" s="75"/>
      <c r="P354" s="75"/>
      <c r="Q354" s="75"/>
      <c r="R354" s="75"/>
      <c r="S354" s="75"/>
      <c r="T354" s="75"/>
      <c r="U354" s="75"/>
      <c r="V354" s="75"/>
      <c r="W354" s="75"/>
      <c r="X354" s="75"/>
      <c r="Y354" s="75"/>
      <c r="Z354" s="75"/>
      <c r="AA354" s="75"/>
      <c r="AB354" s="75"/>
      <c r="AC354" s="75"/>
    </row>
    <row r="355" spans="2:29" hidden="1" x14ac:dyDescent="0.2">
      <c r="C355" s="75"/>
      <c r="D355" s="75"/>
      <c r="E355">
        <v>0</v>
      </c>
      <c r="F355" t="s">
        <v>4848</v>
      </c>
      <c r="H355" s="75"/>
      <c r="I355" s="75"/>
      <c r="J355" s="75"/>
      <c r="K355" s="75"/>
      <c r="L355" s="75"/>
      <c r="M355" s="75"/>
      <c r="N355" s="75"/>
      <c r="O355" s="75"/>
      <c r="P355" s="75"/>
      <c r="Q355" s="75"/>
      <c r="R355" s="75"/>
      <c r="S355" s="75"/>
      <c r="T355" s="75"/>
      <c r="U355" s="75"/>
      <c r="V355" s="75"/>
      <c r="W355" s="75"/>
      <c r="X355" s="75"/>
      <c r="Y355" s="75"/>
      <c r="Z355" s="75"/>
      <c r="AA355" s="75"/>
      <c r="AB355" s="75"/>
      <c r="AC355" s="75"/>
    </row>
    <row r="356" spans="2:29" hidden="1" x14ac:dyDescent="0.2">
      <c r="C356" s="75"/>
      <c r="D356" s="75"/>
      <c r="H356" s="75"/>
      <c r="I356" s="75"/>
      <c r="J356" s="75"/>
      <c r="K356" s="75"/>
      <c r="L356" s="75"/>
      <c r="M356" s="75"/>
      <c r="N356" s="75"/>
      <c r="O356" s="75"/>
      <c r="P356" s="75"/>
      <c r="Q356" s="75"/>
      <c r="R356" s="75"/>
      <c r="S356" s="75"/>
      <c r="T356" s="75"/>
      <c r="U356" s="75"/>
      <c r="V356" s="75"/>
      <c r="W356" s="75"/>
      <c r="X356" s="75"/>
      <c r="Y356" s="75"/>
      <c r="Z356" s="75"/>
      <c r="AA356" s="75"/>
      <c r="AB356" s="75"/>
      <c r="AC356" s="75"/>
    </row>
    <row r="357" spans="2:29" hidden="1" x14ac:dyDescent="0.2">
      <c r="C357" s="75"/>
      <c r="D357" s="75"/>
      <c r="H357" s="75"/>
      <c r="I357" s="75"/>
      <c r="J357" s="75"/>
      <c r="K357" s="75"/>
      <c r="L357" s="75"/>
      <c r="M357" s="75"/>
      <c r="N357" s="75"/>
      <c r="O357" s="75"/>
      <c r="P357" s="75"/>
      <c r="Q357" s="75"/>
      <c r="R357" s="75"/>
      <c r="S357" s="75"/>
      <c r="T357" s="75"/>
      <c r="U357" s="75"/>
      <c r="V357" s="75"/>
      <c r="W357" s="75"/>
      <c r="X357" s="75"/>
      <c r="Y357" s="75"/>
      <c r="Z357" s="75"/>
      <c r="AA357" s="75"/>
      <c r="AB357" s="75"/>
      <c r="AC357" s="75"/>
    </row>
    <row r="358" spans="2:29" hidden="1" x14ac:dyDescent="0.2">
      <c r="C358" s="75"/>
      <c r="D358" s="75"/>
      <c r="H358" s="75"/>
      <c r="I358" s="75"/>
      <c r="J358" s="75"/>
      <c r="K358" s="75"/>
      <c r="L358" s="75"/>
      <c r="M358" s="75"/>
      <c r="N358" s="75"/>
      <c r="O358" s="75"/>
      <c r="P358" s="75"/>
      <c r="Q358" s="75"/>
      <c r="R358" s="75"/>
      <c r="S358" s="75"/>
      <c r="T358" s="75"/>
      <c r="U358" s="75"/>
      <c r="V358" s="75"/>
      <c r="W358" s="75"/>
      <c r="X358" s="75"/>
      <c r="Y358" s="75"/>
      <c r="Z358" s="75"/>
      <c r="AA358" s="75"/>
      <c r="AB358" s="75"/>
      <c r="AC358" s="75"/>
    </row>
    <row r="359" spans="2:29" hidden="1" x14ac:dyDescent="0.2">
      <c r="B359" s="74" t="s">
        <v>4855</v>
      </c>
      <c r="C359" s="1760"/>
      <c r="D359" s="1760"/>
      <c r="E359" s="1757">
        <f>IF(D338&lt;E351,E352,IF(D338&gt;E354,E355,E348))</f>
        <v>180</v>
      </c>
      <c r="F359" s="74" t="s">
        <v>3703</v>
      </c>
      <c r="H359" s="75"/>
      <c r="I359" s="75"/>
      <c r="J359" s="75"/>
      <c r="K359" s="75"/>
      <c r="L359" s="75"/>
      <c r="M359" s="75"/>
      <c r="N359" s="75"/>
      <c r="O359" s="75"/>
      <c r="P359" s="75"/>
      <c r="Q359" s="75"/>
      <c r="R359" s="75"/>
      <c r="S359" s="75"/>
      <c r="T359" s="75"/>
      <c r="U359" s="75"/>
      <c r="V359" s="75"/>
      <c r="W359" s="75"/>
      <c r="X359" s="75"/>
      <c r="Y359" s="75"/>
      <c r="Z359" s="75"/>
      <c r="AA359" s="75"/>
      <c r="AB359" s="75"/>
      <c r="AC359" s="75"/>
    </row>
    <row r="360" spans="2:29" hidden="1" x14ac:dyDescent="0.2">
      <c r="C360" s="75"/>
      <c r="D360" s="75"/>
      <c r="H360" s="75"/>
      <c r="I360" s="75"/>
      <c r="J360" s="75"/>
      <c r="K360" s="75"/>
      <c r="L360" s="75"/>
      <c r="M360" s="75"/>
      <c r="N360" s="75"/>
      <c r="O360" s="75"/>
      <c r="P360" s="75"/>
      <c r="Q360" s="75"/>
      <c r="R360" s="75"/>
      <c r="S360" s="75"/>
      <c r="T360" s="75"/>
      <c r="U360" s="75"/>
      <c r="V360" s="75"/>
      <c r="W360" s="75"/>
      <c r="X360" s="75"/>
      <c r="Y360" s="75"/>
      <c r="Z360" s="75"/>
      <c r="AA360" s="75"/>
      <c r="AB360" s="75"/>
      <c r="AC360" s="75"/>
    </row>
    <row r="361" spans="2:29" hidden="1" x14ac:dyDescent="0.2">
      <c r="C361" s="75"/>
      <c r="D361" s="75"/>
      <c r="H361" s="75"/>
      <c r="I361" s="75"/>
      <c r="J361" s="75"/>
      <c r="K361" s="75"/>
      <c r="L361" s="75"/>
      <c r="M361" s="75"/>
      <c r="N361" s="75"/>
      <c r="O361" s="75"/>
      <c r="P361" s="75"/>
      <c r="Q361" s="75"/>
      <c r="R361" s="75"/>
      <c r="S361" s="75"/>
      <c r="T361" s="75"/>
      <c r="U361" s="75"/>
      <c r="V361" s="75"/>
      <c r="W361" s="75"/>
      <c r="X361" s="75"/>
      <c r="Y361" s="75"/>
      <c r="Z361" s="75"/>
      <c r="AA361" s="75"/>
      <c r="AB361" s="75"/>
      <c r="AC361" s="75"/>
    </row>
    <row r="362" spans="2:29" ht="15" hidden="1" x14ac:dyDescent="0.25">
      <c r="B362" s="1755" t="s">
        <v>4854</v>
      </c>
      <c r="C362" s="75"/>
      <c r="D362" s="83" t="s">
        <v>4844</v>
      </c>
      <c r="E362">
        <v>357.07</v>
      </c>
      <c r="H362" s="75"/>
      <c r="I362" s="75"/>
      <c r="J362" s="75"/>
      <c r="K362" s="75"/>
      <c r="L362" s="75"/>
      <c r="M362" s="75"/>
      <c r="N362" s="75"/>
      <c r="O362" s="75"/>
      <c r="P362" s="75"/>
      <c r="Q362" s="75"/>
      <c r="R362" s="75"/>
      <c r="S362" s="75"/>
      <c r="T362" s="75"/>
      <c r="U362" s="75"/>
      <c r="V362" s="75"/>
      <c r="W362" s="75"/>
      <c r="X362" s="75"/>
      <c r="Y362" s="75"/>
      <c r="Z362" s="75"/>
      <c r="AA362" s="75"/>
      <c r="AB362" s="75"/>
      <c r="AC362" s="75"/>
    </row>
    <row r="363" spans="2:29" hidden="1" x14ac:dyDescent="0.2">
      <c r="C363" s="75"/>
      <c r="D363" s="75"/>
      <c r="E363">
        <v>31.821000000000002</v>
      </c>
      <c r="H363" s="75"/>
      <c r="I363" s="75"/>
      <c r="J363" s="75"/>
      <c r="K363" s="75"/>
      <c r="L363" s="75"/>
      <c r="M363" s="75"/>
      <c r="N363" s="75"/>
      <c r="O363" s="75"/>
      <c r="P363" s="75"/>
      <c r="Q363" s="75"/>
      <c r="R363" s="75"/>
      <c r="S363" s="75"/>
      <c r="T363" s="75"/>
      <c r="U363" s="75"/>
      <c r="V363" s="75"/>
      <c r="W363" s="75"/>
      <c r="X363" s="75"/>
      <c r="Y363" s="75"/>
      <c r="Z363" s="75"/>
      <c r="AA363" s="75"/>
      <c r="AB363" s="75"/>
      <c r="AC363" s="75"/>
    </row>
    <row r="364" spans="2:29" hidden="1" x14ac:dyDescent="0.2">
      <c r="C364" s="75"/>
      <c r="D364" s="75"/>
      <c r="E364">
        <v>1.2282999999999999</v>
      </c>
      <c r="H364" s="75"/>
      <c r="I364" s="75"/>
      <c r="J364" s="75"/>
      <c r="K364" s="75"/>
      <c r="L364" s="75"/>
      <c r="M364" s="75"/>
      <c r="N364" s="75"/>
      <c r="O364" s="75"/>
      <c r="P364" s="75"/>
      <c r="Q364" s="75"/>
      <c r="R364" s="75"/>
      <c r="S364" s="75"/>
      <c r="T364" s="75"/>
      <c r="U364" s="75"/>
      <c r="V364" s="75"/>
      <c r="W364" s="75"/>
      <c r="X364" s="75"/>
      <c r="Y364" s="75"/>
      <c r="Z364" s="75"/>
      <c r="AA364" s="75"/>
      <c r="AB364" s="75"/>
      <c r="AC364" s="75"/>
    </row>
    <row r="365" spans="2:29" hidden="1" x14ac:dyDescent="0.2">
      <c r="C365" s="75"/>
      <c r="D365" s="75"/>
      <c r="E365">
        <v>1.7000000000000001E-2</v>
      </c>
      <c r="H365" s="75"/>
      <c r="I365" s="75"/>
      <c r="J365" s="75"/>
      <c r="K365" s="75"/>
      <c r="L365" s="75"/>
      <c r="M365" s="75"/>
      <c r="N365" s="75"/>
      <c r="O365" s="75"/>
      <c r="P365" s="75"/>
      <c r="Q365" s="75"/>
      <c r="R365" s="75"/>
      <c r="S365" s="75"/>
      <c r="T365" s="75"/>
      <c r="U365" s="75"/>
      <c r="V365" s="75"/>
      <c r="W365" s="75"/>
      <c r="X365" s="75"/>
      <c r="Y365" s="75"/>
      <c r="Z365" s="75"/>
      <c r="AA365" s="75"/>
      <c r="AB365" s="75"/>
      <c r="AC365" s="75"/>
    </row>
    <row r="366" spans="2:29" hidden="1" x14ac:dyDescent="0.2">
      <c r="C366" s="75"/>
      <c r="D366" s="75"/>
      <c r="H366" s="75"/>
      <c r="I366" s="75"/>
      <c r="J366" s="75"/>
      <c r="K366" s="75"/>
      <c r="L366" s="75"/>
      <c r="M366" s="75"/>
      <c r="N366" s="75"/>
      <c r="O366" s="75"/>
      <c r="P366" s="75"/>
      <c r="Q366" s="75"/>
      <c r="R366" s="75"/>
      <c r="S366" s="75"/>
      <c r="T366" s="75"/>
      <c r="U366" s="75"/>
      <c r="V366" s="75"/>
      <c r="W366" s="75"/>
      <c r="X366" s="75"/>
      <c r="Y366" s="75"/>
      <c r="Z366" s="75"/>
      <c r="AA366" s="75"/>
      <c r="AB366" s="75"/>
      <c r="AC366" s="75"/>
    </row>
    <row r="367" spans="2:29" ht="15" hidden="1" x14ac:dyDescent="0.25">
      <c r="B367" t="s">
        <v>4853</v>
      </c>
      <c r="C367" s="75"/>
      <c r="D367" s="75"/>
      <c r="E367">
        <f>$E$362-($E$363*$D$338)+($E$364*$D$338*$D$338)-($E$365*$D$338*$D$338*$D$338)</f>
        <v>357.07</v>
      </c>
      <c r="F367" s="74" t="s">
        <v>3703</v>
      </c>
      <c r="G367" t="s">
        <v>4852</v>
      </c>
      <c r="H367" s="75"/>
      <c r="I367" s="75"/>
      <c r="J367" s="75"/>
      <c r="K367" s="75"/>
      <c r="L367" s="75"/>
      <c r="M367" s="75"/>
      <c r="N367" s="75"/>
      <c r="O367" s="75"/>
      <c r="P367" s="75"/>
      <c r="Q367" s="75"/>
      <c r="R367" s="75"/>
      <c r="S367" s="75"/>
      <c r="T367" s="75"/>
      <c r="U367" s="75"/>
      <c r="V367" s="75"/>
      <c r="W367" s="75"/>
      <c r="X367" s="75"/>
      <c r="Y367" s="75"/>
      <c r="Z367" s="75"/>
      <c r="AA367" s="75"/>
      <c r="AB367" s="75"/>
      <c r="AC367" s="75"/>
    </row>
    <row r="368" spans="2:29" hidden="1" x14ac:dyDescent="0.2">
      <c r="C368" s="75"/>
      <c r="D368" s="75"/>
      <c r="G368" t="s">
        <v>4851</v>
      </c>
      <c r="H368" s="75"/>
      <c r="I368" s="75"/>
      <c r="J368" s="75"/>
      <c r="K368" s="75"/>
      <c r="L368" s="75"/>
      <c r="M368" s="75"/>
      <c r="N368" s="75"/>
      <c r="O368" s="75"/>
      <c r="P368" s="75"/>
      <c r="Q368" s="75"/>
      <c r="R368" s="75"/>
      <c r="S368" s="75"/>
      <c r="T368" s="75"/>
      <c r="U368" s="75"/>
      <c r="V368" s="75"/>
      <c r="W368" s="75"/>
      <c r="X368" s="75"/>
      <c r="Y368" s="75"/>
      <c r="Z368" s="75"/>
      <c r="AA368" s="75"/>
      <c r="AB368" s="75"/>
      <c r="AC368" s="75"/>
    </row>
    <row r="369" spans="2:29" hidden="1" x14ac:dyDescent="0.2">
      <c r="C369" s="75"/>
      <c r="D369" s="75"/>
      <c r="H369" s="75"/>
      <c r="I369" s="75"/>
      <c r="J369" s="75"/>
      <c r="K369" s="75"/>
      <c r="L369" s="75"/>
      <c r="M369" s="75"/>
      <c r="N369" s="75"/>
      <c r="O369" s="75"/>
      <c r="P369" s="75"/>
      <c r="Q369" s="75"/>
      <c r="R369" s="75"/>
      <c r="S369" s="75"/>
      <c r="T369" s="75"/>
      <c r="U369" s="75"/>
      <c r="V369" s="75"/>
      <c r="W369" s="75"/>
      <c r="X369" s="75"/>
      <c r="Y369" s="75"/>
      <c r="Z369" s="75"/>
      <c r="AA369" s="75"/>
      <c r="AB369" s="75"/>
      <c r="AC369" s="75"/>
    </row>
    <row r="370" spans="2:29" hidden="1" x14ac:dyDescent="0.2">
      <c r="C370" s="75"/>
      <c r="D370" s="83" t="s">
        <v>4840</v>
      </c>
      <c r="E370">
        <v>7</v>
      </c>
      <c r="F370" t="s">
        <v>4837</v>
      </c>
      <c r="G370" t="s">
        <v>4850</v>
      </c>
      <c r="H370" s="75"/>
      <c r="I370" s="75"/>
      <c r="J370" s="75"/>
      <c r="K370" s="75"/>
      <c r="L370" s="75"/>
      <c r="M370" s="75"/>
      <c r="N370" s="75"/>
      <c r="O370" s="75"/>
      <c r="P370" s="75"/>
      <c r="Q370" s="75"/>
      <c r="R370" s="75"/>
      <c r="S370" s="75"/>
      <c r="T370" s="75"/>
      <c r="U370" s="75"/>
      <c r="V370" s="75"/>
      <c r="W370" s="75"/>
      <c r="X370" s="75"/>
      <c r="Y370" s="75"/>
      <c r="Z370" s="75"/>
      <c r="AA370" s="75"/>
      <c r="AB370" s="75"/>
      <c r="AC370" s="75"/>
    </row>
    <row r="371" spans="2:29" hidden="1" x14ac:dyDescent="0.2">
      <c r="C371" s="75"/>
      <c r="D371" s="75"/>
      <c r="E371">
        <v>210</v>
      </c>
      <c r="F371" t="s">
        <v>4848</v>
      </c>
      <c r="H371" s="75"/>
      <c r="I371" s="75"/>
      <c r="J371" s="75"/>
      <c r="K371" s="75"/>
      <c r="L371" s="75"/>
      <c r="M371" s="75"/>
      <c r="N371" s="75"/>
      <c r="O371" s="75"/>
      <c r="P371" s="75"/>
      <c r="Q371" s="75"/>
      <c r="R371" s="75"/>
      <c r="S371" s="75"/>
      <c r="T371" s="75"/>
      <c r="U371" s="75"/>
      <c r="V371" s="75"/>
      <c r="W371" s="75"/>
      <c r="X371" s="75"/>
      <c r="Y371" s="75"/>
      <c r="Z371" s="75"/>
      <c r="AA371" s="75"/>
      <c r="AB371" s="75"/>
      <c r="AC371" s="75"/>
    </row>
    <row r="372" spans="2:29" hidden="1" x14ac:dyDescent="0.2">
      <c r="C372" s="75"/>
      <c r="D372" s="75"/>
      <c r="H372" s="75"/>
      <c r="I372" s="75"/>
      <c r="J372" s="75"/>
      <c r="K372" s="75"/>
      <c r="L372" s="75"/>
      <c r="M372" s="75"/>
      <c r="N372" s="75"/>
      <c r="O372" s="75"/>
      <c r="P372" s="75"/>
      <c r="Q372" s="75"/>
      <c r="R372" s="75"/>
      <c r="S372" s="75"/>
      <c r="T372" s="75"/>
      <c r="U372" s="75"/>
      <c r="V372" s="75"/>
      <c r="W372" s="75"/>
      <c r="X372" s="75"/>
      <c r="Y372" s="75"/>
      <c r="Z372" s="75"/>
      <c r="AA372" s="75"/>
      <c r="AB372" s="75"/>
      <c r="AC372" s="75"/>
    </row>
    <row r="373" spans="2:29" hidden="1" x14ac:dyDescent="0.2">
      <c r="C373" s="75"/>
      <c r="D373" s="83" t="s">
        <v>4838</v>
      </c>
      <c r="E373">
        <v>37</v>
      </c>
      <c r="F373" t="s">
        <v>4837</v>
      </c>
      <c r="G373" t="s">
        <v>4849</v>
      </c>
      <c r="H373" s="75"/>
      <c r="I373" s="75"/>
      <c r="J373" s="75"/>
      <c r="K373" s="75"/>
      <c r="L373" s="75"/>
      <c r="M373" s="75"/>
      <c r="N373" s="75"/>
      <c r="O373" s="75"/>
      <c r="P373" s="75"/>
      <c r="Q373" s="75"/>
      <c r="R373" s="75"/>
      <c r="S373" s="75"/>
      <c r="T373" s="75"/>
      <c r="U373" s="75"/>
      <c r="V373" s="75"/>
      <c r="W373" s="75"/>
      <c r="X373" s="75"/>
      <c r="Y373" s="75"/>
      <c r="Z373" s="75"/>
      <c r="AA373" s="75"/>
      <c r="AB373" s="75"/>
      <c r="AC373" s="75"/>
    </row>
    <row r="374" spans="2:29" hidden="1" x14ac:dyDescent="0.2">
      <c r="C374" s="75"/>
      <c r="D374" s="75"/>
      <c r="E374">
        <v>0</v>
      </c>
      <c r="F374" t="s">
        <v>4848</v>
      </c>
      <c r="H374" s="75"/>
      <c r="I374" s="75"/>
      <c r="J374" s="75"/>
      <c r="K374" s="75"/>
      <c r="L374" s="75"/>
      <c r="M374" s="75"/>
      <c r="N374" s="75"/>
      <c r="O374" s="75"/>
      <c r="P374" s="75"/>
      <c r="Q374" s="75"/>
      <c r="R374" s="75"/>
      <c r="S374" s="75"/>
      <c r="T374" s="75"/>
      <c r="U374" s="75"/>
      <c r="V374" s="75"/>
      <c r="W374" s="75"/>
      <c r="X374" s="75"/>
      <c r="Y374" s="75"/>
      <c r="Z374" s="75"/>
      <c r="AA374" s="75"/>
      <c r="AB374" s="75"/>
      <c r="AC374" s="75"/>
    </row>
    <row r="375" spans="2:29" hidden="1" x14ac:dyDescent="0.2">
      <c r="C375" s="75"/>
      <c r="D375" s="75"/>
      <c r="H375" s="75"/>
      <c r="I375" s="75"/>
      <c r="J375" s="75"/>
      <c r="K375" s="75"/>
      <c r="L375" s="75"/>
      <c r="M375" s="75"/>
      <c r="N375" s="75"/>
      <c r="O375" s="75"/>
      <c r="P375" s="75"/>
      <c r="Q375" s="75"/>
      <c r="R375" s="75"/>
      <c r="S375" s="75"/>
      <c r="T375" s="75"/>
      <c r="U375" s="75"/>
      <c r="V375" s="75"/>
      <c r="W375" s="75"/>
      <c r="X375" s="75"/>
      <c r="Y375" s="75"/>
      <c r="Z375" s="75"/>
      <c r="AA375" s="75"/>
      <c r="AB375" s="75"/>
      <c r="AC375" s="75"/>
    </row>
    <row r="376" spans="2:29" hidden="1" x14ac:dyDescent="0.2">
      <c r="C376" s="75"/>
      <c r="D376" s="75"/>
      <c r="H376" s="75"/>
      <c r="I376" s="75"/>
      <c r="J376" s="75"/>
      <c r="K376" s="75"/>
      <c r="L376" s="75"/>
      <c r="M376" s="75"/>
      <c r="N376" s="75"/>
      <c r="O376" s="75"/>
      <c r="P376" s="75"/>
      <c r="Q376" s="75"/>
      <c r="R376" s="75"/>
      <c r="S376" s="75"/>
      <c r="T376" s="75"/>
      <c r="U376" s="75"/>
      <c r="V376" s="75"/>
      <c r="W376" s="75"/>
      <c r="X376" s="75"/>
      <c r="Y376" s="75"/>
      <c r="Z376" s="75"/>
      <c r="AA376" s="75"/>
      <c r="AB376" s="75"/>
      <c r="AC376" s="75"/>
    </row>
    <row r="377" spans="2:29" hidden="1" x14ac:dyDescent="0.2">
      <c r="C377" s="75"/>
      <c r="D377" s="75"/>
      <c r="H377" s="75"/>
      <c r="I377" s="75"/>
      <c r="J377" s="75"/>
      <c r="K377" s="75"/>
      <c r="L377" s="75"/>
      <c r="M377" s="75"/>
      <c r="N377" s="75"/>
      <c r="O377" s="75"/>
      <c r="P377" s="75"/>
      <c r="Q377" s="75"/>
      <c r="R377" s="75"/>
      <c r="S377" s="75"/>
      <c r="T377" s="75"/>
      <c r="U377" s="75"/>
      <c r="V377" s="75"/>
      <c r="W377" s="75"/>
      <c r="X377" s="75"/>
      <c r="Y377" s="75"/>
      <c r="Z377" s="75"/>
      <c r="AA377" s="75"/>
      <c r="AB377" s="75"/>
      <c r="AC377" s="75"/>
    </row>
    <row r="378" spans="2:29" hidden="1" x14ac:dyDescent="0.2">
      <c r="B378" s="74" t="s">
        <v>4847</v>
      </c>
      <c r="C378" s="1760"/>
      <c r="D378" s="1760"/>
      <c r="E378" s="1757">
        <f>IF(D338&lt;E370,E371,IF(D338&gt;E373,E374,E367))</f>
        <v>210</v>
      </c>
      <c r="F378" s="74" t="s">
        <v>3703</v>
      </c>
      <c r="H378" s="75"/>
      <c r="I378" s="75"/>
      <c r="J378" s="75"/>
      <c r="K378" s="75"/>
      <c r="L378" s="75"/>
      <c r="M378" s="75"/>
      <c r="N378" s="75"/>
      <c r="O378" s="75"/>
      <c r="P378" s="75"/>
      <c r="Q378" s="75"/>
      <c r="R378" s="75"/>
      <c r="S378" s="75"/>
      <c r="T378" s="75"/>
      <c r="U378" s="75"/>
      <c r="V378" s="75"/>
      <c r="W378" s="75"/>
      <c r="X378" s="75"/>
      <c r="Y378" s="75"/>
      <c r="Z378" s="75"/>
      <c r="AA378" s="75"/>
      <c r="AB378" s="75"/>
      <c r="AC378" s="75"/>
    </row>
    <row r="379" spans="2:29" hidden="1" x14ac:dyDescent="0.2">
      <c r="C379" s="75"/>
      <c r="D379" s="75"/>
      <c r="H379" s="75"/>
      <c r="I379" s="75"/>
      <c r="J379" s="75"/>
      <c r="K379" s="75"/>
      <c r="L379" s="75"/>
      <c r="M379" s="75"/>
      <c r="N379" s="75"/>
      <c r="O379" s="75"/>
      <c r="P379" s="75"/>
      <c r="Q379" s="75"/>
      <c r="R379" s="75"/>
      <c r="S379" s="75"/>
      <c r="T379" s="75"/>
      <c r="U379" s="75"/>
      <c r="V379" s="75"/>
      <c r="W379" s="75"/>
      <c r="X379" s="75"/>
      <c r="Y379" s="75"/>
      <c r="Z379" s="75"/>
      <c r="AA379" s="75"/>
      <c r="AB379" s="75"/>
      <c r="AC379" s="75"/>
    </row>
    <row r="380" spans="2:29" hidden="1" x14ac:dyDescent="0.2">
      <c r="C380" s="75"/>
      <c r="D380" s="75"/>
      <c r="H380" s="75"/>
      <c r="I380" s="75"/>
      <c r="J380" s="75"/>
      <c r="K380" s="75"/>
      <c r="L380" s="75"/>
      <c r="M380" s="75"/>
      <c r="N380" s="75"/>
      <c r="O380" s="75"/>
      <c r="P380" s="75"/>
      <c r="Q380" s="75"/>
      <c r="R380" s="75"/>
      <c r="S380" s="75"/>
      <c r="T380" s="75"/>
      <c r="U380" s="75"/>
      <c r="V380" s="75"/>
      <c r="W380" s="75"/>
      <c r="X380" s="75"/>
      <c r="Y380" s="75"/>
      <c r="Z380" s="75"/>
      <c r="AA380" s="75"/>
      <c r="AB380" s="75"/>
      <c r="AC380" s="75"/>
    </row>
    <row r="381" spans="2:29" ht="15" hidden="1" x14ac:dyDescent="0.25">
      <c r="B381" s="1755" t="s">
        <v>4846</v>
      </c>
      <c r="C381" s="1759"/>
      <c r="D381" s="1759"/>
      <c r="E381" s="1755">
        <f>IF(D341="A",E359,E378)</f>
        <v>180</v>
      </c>
      <c r="F381" s="1755" t="s">
        <v>3703</v>
      </c>
      <c r="H381" s="75"/>
      <c r="I381" s="75"/>
      <c r="J381" s="75"/>
      <c r="K381" s="75"/>
      <c r="L381" s="75"/>
      <c r="M381" s="75"/>
      <c r="N381" s="75"/>
      <c r="O381" s="75"/>
      <c r="P381" s="75"/>
      <c r="Q381" s="75"/>
      <c r="R381" s="75"/>
      <c r="S381" s="75"/>
      <c r="T381" s="75"/>
      <c r="U381" s="75"/>
      <c r="V381" s="75"/>
      <c r="W381" s="75"/>
      <c r="X381" s="75"/>
      <c r="Y381" s="75"/>
      <c r="Z381" s="75"/>
      <c r="AA381" s="75"/>
      <c r="AB381" s="75"/>
      <c r="AC381" s="75"/>
    </row>
    <row r="382" spans="2:29" hidden="1" x14ac:dyDescent="0.2">
      <c r="C382" s="75"/>
      <c r="D382" s="75"/>
      <c r="H382" s="75"/>
      <c r="I382" s="75"/>
      <c r="J382" s="75"/>
      <c r="K382" s="75"/>
      <c r="L382" s="75"/>
      <c r="M382" s="75"/>
      <c r="N382" s="75"/>
      <c r="O382" s="75"/>
      <c r="P382" s="75"/>
      <c r="Q382" s="75"/>
      <c r="R382" s="75"/>
      <c r="S382" s="75"/>
      <c r="T382" s="75"/>
      <c r="U382" s="75"/>
      <c r="V382" s="75"/>
      <c r="W382" s="75"/>
      <c r="X382" s="75"/>
      <c r="Y382" s="75"/>
      <c r="Z382" s="75"/>
      <c r="AA382" s="75"/>
      <c r="AB382" s="75"/>
      <c r="AC382" s="75"/>
    </row>
    <row r="383" spans="2:29" hidden="1" x14ac:dyDescent="0.2">
      <c r="C383" s="75"/>
      <c r="D383" s="75"/>
      <c r="H383" s="75"/>
      <c r="I383" s="75"/>
      <c r="J383" s="75"/>
      <c r="K383" s="75"/>
      <c r="L383" s="75"/>
      <c r="M383" s="75"/>
      <c r="N383" s="75"/>
      <c r="O383" s="75"/>
      <c r="P383" s="75"/>
      <c r="Q383" s="75"/>
      <c r="R383" s="75"/>
      <c r="S383" s="75"/>
      <c r="T383" s="75"/>
      <c r="U383" s="75"/>
      <c r="V383" s="75"/>
      <c r="W383" s="75"/>
      <c r="X383" s="75"/>
      <c r="Y383" s="75"/>
      <c r="Z383" s="75"/>
      <c r="AA383" s="75"/>
      <c r="AB383" s="75"/>
      <c r="AC383" s="75"/>
    </row>
    <row r="384" spans="2:29" hidden="1" x14ac:dyDescent="0.2">
      <c r="C384" s="75"/>
      <c r="D384" s="75"/>
      <c r="H384" s="75"/>
      <c r="I384" s="75"/>
      <c r="J384" s="75"/>
      <c r="K384" s="75"/>
      <c r="L384" s="75"/>
      <c r="M384" s="75"/>
      <c r="N384" s="75"/>
      <c r="O384" s="75"/>
      <c r="P384" s="75"/>
      <c r="Q384" s="75"/>
      <c r="R384" s="75"/>
      <c r="S384" s="75"/>
      <c r="T384" s="75"/>
      <c r="U384" s="75"/>
      <c r="V384" s="75"/>
      <c r="W384" s="75"/>
      <c r="X384" s="75"/>
      <c r="Y384" s="75"/>
      <c r="Z384" s="75"/>
      <c r="AA384" s="75"/>
      <c r="AB384" s="75"/>
      <c r="AC384" s="75"/>
    </row>
    <row r="385" spans="2:29" ht="15" hidden="1" x14ac:dyDescent="0.25">
      <c r="B385" s="1755" t="s">
        <v>4037</v>
      </c>
      <c r="C385" s="1759"/>
      <c r="D385" s="1759"/>
      <c r="E385" s="1758">
        <f>OR_Eingabe!J35</f>
        <v>0</v>
      </c>
      <c r="F385" s="1755" t="s">
        <v>4837</v>
      </c>
      <c r="H385" s="75"/>
      <c r="I385" s="75"/>
      <c r="J385" s="75"/>
      <c r="K385" s="75"/>
      <c r="L385" s="75"/>
      <c r="M385" s="75"/>
      <c r="N385" s="75"/>
      <c r="O385" s="75"/>
      <c r="P385" s="75"/>
      <c r="Q385" s="75"/>
      <c r="R385" s="75"/>
      <c r="S385" s="75"/>
      <c r="T385" s="75"/>
      <c r="U385" s="75"/>
      <c r="V385" s="75"/>
      <c r="W385" s="75"/>
      <c r="X385" s="75"/>
      <c r="Y385" s="75"/>
      <c r="Z385" s="75"/>
      <c r="AA385" s="75"/>
      <c r="AB385" s="75"/>
      <c r="AC385" s="75"/>
    </row>
    <row r="386" spans="2:29" hidden="1" x14ac:dyDescent="0.2">
      <c r="B386" t="s">
        <v>4845</v>
      </c>
      <c r="C386" s="75"/>
      <c r="D386" s="83" t="s">
        <v>4844</v>
      </c>
      <c r="E386" s="83">
        <v>90.17</v>
      </c>
      <c r="H386" s="75"/>
      <c r="I386" s="75"/>
      <c r="J386" s="75"/>
      <c r="K386" s="75"/>
      <c r="L386" s="75"/>
      <c r="M386" s="75"/>
      <c r="N386" s="75"/>
      <c r="O386" s="75"/>
      <c r="P386" s="75"/>
      <c r="Q386" s="75"/>
      <c r="R386" s="75"/>
      <c r="S386" s="75"/>
      <c r="T386" s="75"/>
      <c r="U386" s="75"/>
      <c r="V386" s="75"/>
      <c r="W386" s="75"/>
      <c r="X386" s="75"/>
      <c r="Y386" s="75"/>
      <c r="Z386" s="75"/>
      <c r="AA386" s="75"/>
      <c r="AB386" s="75"/>
      <c r="AC386" s="75"/>
    </row>
    <row r="387" spans="2:29" hidden="1" x14ac:dyDescent="0.2">
      <c r="C387" s="83"/>
      <c r="D387" s="83"/>
      <c r="E387">
        <v>9.6715</v>
      </c>
      <c r="H387" s="75"/>
      <c r="I387" s="75"/>
      <c r="J387" s="75"/>
      <c r="K387" s="75"/>
      <c r="L387" s="75"/>
      <c r="M387" s="75"/>
      <c r="N387" s="75"/>
      <c r="O387" s="75"/>
      <c r="P387" s="75"/>
      <c r="Q387" s="75"/>
      <c r="R387" s="75"/>
      <c r="S387" s="75"/>
      <c r="T387" s="75"/>
      <c r="U387" s="75"/>
      <c r="V387" s="75"/>
      <c r="W387" s="75"/>
      <c r="X387" s="75"/>
      <c r="Y387" s="75"/>
      <c r="Z387" s="75"/>
      <c r="AA387" s="75"/>
      <c r="AB387" s="75"/>
      <c r="AC387" s="75"/>
    </row>
    <row r="388" spans="2:29" hidden="1" x14ac:dyDescent="0.2">
      <c r="C388" s="75"/>
      <c r="D388" s="75"/>
      <c r="E388">
        <v>2.4874000000000001</v>
      </c>
      <c r="H388" s="75"/>
      <c r="I388" s="75"/>
      <c r="J388" s="75"/>
      <c r="K388" s="75"/>
      <c r="L388" s="75"/>
      <c r="M388" s="75"/>
      <c r="N388" s="75"/>
      <c r="O388" s="75"/>
      <c r="P388" s="75"/>
      <c r="Q388" s="75"/>
      <c r="R388" s="75"/>
      <c r="S388" s="75"/>
      <c r="T388" s="75"/>
      <c r="U388" s="75"/>
      <c r="V388" s="75"/>
      <c r="W388" s="75"/>
      <c r="X388" s="75"/>
      <c r="Y388" s="75"/>
      <c r="Z388" s="75"/>
      <c r="AA388" s="75"/>
      <c r="AB388" s="75"/>
      <c r="AC388" s="75"/>
    </row>
    <row r="389" spans="2:29" hidden="1" x14ac:dyDescent="0.2">
      <c r="C389" s="75"/>
      <c r="D389" s="75"/>
      <c r="E389">
        <v>0.1487</v>
      </c>
      <c r="H389" s="75"/>
      <c r="I389" s="75"/>
      <c r="J389" s="75"/>
      <c r="K389" s="75"/>
      <c r="L389" s="75"/>
      <c r="M389" s="75"/>
      <c r="N389" s="75"/>
      <c r="O389" s="75"/>
      <c r="P389" s="75"/>
      <c r="Q389" s="75"/>
      <c r="R389" s="75"/>
      <c r="S389" s="75"/>
      <c r="T389" s="75"/>
      <c r="U389" s="75"/>
      <c r="V389" s="75"/>
      <c r="W389" s="75"/>
      <c r="X389" s="75"/>
      <c r="Y389" s="75"/>
      <c r="Z389" s="75"/>
      <c r="AA389" s="75"/>
      <c r="AB389" s="75"/>
      <c r="AC389" s="75"/>
    </row>
    <row r="390" spans="2:29" hidden="1" x14ac:dyDescent="0.2">
      <c r="C390" s="75"/>
      <c r="D390" s="75"/>
      <c r="E390">
        <v>2.8E-3</v>
      </c>
      <c r="H390" s="75"/>
      <c r="I390" s="75"/>
      <c r="J390" s="75"/>
      <c r="K390" s="75"/>
      <c r="L390" s="75"/>
      <c r="M390" s="75"/>
      <c r="N390" s="75"/>
      <c r="O390" s="75"/>
      <c r="P390" s="75"/>
      <c r="Q390" s="75"/>
      <c r="R390" s="75"/>
      <c r="S390" s="75"/>
      <c r="T390" s="75"/>
      <c r="U390" s="75"/>
      <c r="V390" s="75"/>
      <c r="W390" s="75"/>
      <c r="X390" s="75"/>
      <c r="Y390" s="75"/>
      <c r="Z390" s="75"/>
      <c r="AA390" s="75"/>
      <c r="AB390" s="75"/>
      <c r="AC390" s="75"/>
    </row>
    <row r="391" spans="2:29" hidden="1" x14ac:dyDescent="0.2">
      <c r="C391" s="75"/>
      <c r="D391" s="75"/>
      <c r="H391" s="75"/>
      <c r="I391" s="75"/>
      <c r="J391" s="75"/>
      <c r="K391" s="75"/>
      <c r="L391" s="75"/>
      <c r="M391" s="75"/>
      <c r="N391" s="75"/>
      <c r="O391" s="75"/>
      <c r="P391" s="75"/>
      <c r="Q391" s="75"/>
      <c r="R391" s="75"/>
      <c r="S391" s="75"/>
      <c r="T391" s="75"/>
      <c r="U391" s="75"/>
      <c r="V391" s="75"/>
      <c r="W391" s="75"/>
      <c r="X391" s="75"/>
      <c r="Y391" s="75"/>
      <c r="Z391" s="75"/>
      <c r="AA391" s="75"/>
      <c r="AB391" s="75"/>
      <c r="AC391" s="75"/>
    </row>
    <row r="392" spans="2:29" hidden="1" x14ac:dyDescent="0.2">
      <c r="B392" t="s">
        <v>4843</v>
      </c>
      <c r="C392" s="75"/>
      <c r="D392" s="75"/>
      <c r="E392" s="1757">
        <f>E386+(E387*E385)-(E388*E385*E385)+(E389*E385*E385*E385)-(E390*E385*E385*E385*E385)</f>
        <v>90.17</v>
      </c>
      <c r="F392" s="74" t="s">
        <v>3703</v>
      </c>
      <c r="G392" t="s">
        <v>4842</v>
      </c>
      <c r="H392" s="75"/>
      <c r="I392" s="75"/>
      <c r="J392" s="75"/>
      <c r="K392" s="75"/>
      <c r="L392" s="75"/>
      <c r="M392" s="75"/>
      <c r="N392" s="75"/>
      <c r="O392" s="75"/>
      <c r="P392" s="75"/>
      <c r="Q392" s="75"/>
      <c r="R392" s="75"/>
      <c r="S392" s="75"/>
      <c r="T392" s="75"/>
      <c r="U392" s="75"/>
      <c r="V392" s="75"/>
      <c r="W392" s="75"/>
      <c r="X392" s="75"/>
      <c r="Y392" s="75"/>
      <c r="Z392" s="75"/>
      <c r="AA392" s="75"/>
      <c r="AB392" s="75"/>
      <c r="AC392" s="75"/>
    </row>
    <row r="393" spans="2:29" hidden="1" x14ac:dyDescent="0.2">
      <c r="C393" s="75"/>
      <c r="D393" s="75"/>
      <c r="G393" t="s">
        <v>4841</v>
      </c>
      <c r="H393" s="75"/>
      <c r="I393" s="75"/>
      <c r="J393" s="75"/>
      <c r="K393" s="75"/>
      <c r="L393" s="75"/>
      <c r="M393" s="75"/>
      <c r="N393" s="75"/>
      <c r="O393" s="75"/>
      <c r="P393" s="75"/>
      <c r="Q393" s="75"/>
      <c r="R393" s="75"/>
      <c r="S393" s="75"/>
      <c r="T393" s="75"/>
      <c r="U393" s="75"/>
      <c r="V393" s="75"/>
      <c r="W393" s="75"/>
      <c r="X393" s="75"/>
      <c r="Y393" s="75"/>
      <c r="Z393" s="75"/>
      <c r="AA393" s="75"/>
      <c r="AB393" s="75"/>
      <c r="AC393" s="75"/>
    </row>
    <row r="394" spans="2:29" hidden="1" x14ac:dyDescent="0.2">
      <c r="C394" s="75"/>
      <c r="D394" s="83" t="s">
        <v>4840</v>
      </c>
      <c r="E394">
        <v>7</v>
      </c>
      <c r="F394" t="s">
        <v>4837</v>
      </c>
      <c r="H394" s="75"/>
      <c r="I394" s="75"/>
      <c r="J394" s="75"/>
      <c r="K394" s="75"/>
      <c r="L394" s="75"/>
      <c r="M394" s="75"/>
      <c r="N394" s="75"/>
      <c r="O394" s="75"/>
      <c r="P394" s="75"/>
      <c r="Q394" s="75"/>
      <c r="R394" s="75"/>
      <c r="S394" s="75"/>
      <c r="T394" s="75"/>
      <c r="U394" s="75"/>
      <c r="V394" s="75"/>
      <c r="W394" s="75"/>
      <c r="X394" s="75"/>
      <c r="Y394" s="75"/>
      <c r="Z394" s="75"/>
      <c r="AA394" s="75"/>
      <c r="AB394" s="75"/>
      <c r="AC394" s="75"/>
    </row>
    <row r="395" spans="2:29" hidden="1" x14ac:dyDescent="0.2">
      <c r="C395" s="75"/>
      <c r="D395" s="75"/>
      <c r="E395">
        <v>100</v>
      </c>
      <c r="F395" t="s">
        <v>3573</v>
      </c>
      <c r="G395" t="s">
        <v>4839</v>
      </c>
      <c r="H395" s="75"/>
      <c r="I395" s="75"/>
      <c r="J395" s="75"/>
      <c r="K395" s="75"/>
      <c r="L395" s="75"/>
      <c r="M395" s="75"/>
      <c r="N395" s="75"/>
      <c r="O395" s="75"/>
      <c r="P395" s="75"/>
      <c r="Q395" s="75"/>
      <c r="R395" s="75"/>
      <c r="S395" s="75"/>
      <c r="T395" s="75"/>
      <c r="U395" s="75"/>
      <c r="V395" s="75"/>
      <c r="W395" s="75"/>
      <c r="X395" s="75"/>
      <c r="Y395" s="75"/>
      <c r="Z395" s="75"/>
      <c r="AA395" s="75"/>
      <c r="AB395" s="75"/>
      <c r="AC395" s="75"/>
    </row>
    <row r="396" spans="2:29" hidden="1" x14ac:dyDescent="0.2">
      <c r="C396" s="75"/>
      <c r="D396" s="75"/>
      <c r="H396" s="75"/>
      <c r="I396" s="75"/>
      <c r="J396" s="75"/>
      <c r="K396" s="75"/>
      <c r="L396" s="75"/>
      <c r="M396" s="75"/>
      <c r="N396" s="75"/>
      <c r="O396" s="75"/>
      <c r="P396" s="75"/>
      <c r="Q396" s="75"/>
      <c r="R396" s="75"/>
      <c r="S396" s="75"/>
      <c r="T396" s="75"/>
      <c r="U396" s="75"/>
      <c r="V396" s="75"/>
      <c r="W396" s="75"/>
      <c r="X396" s="75"/>
      <c r="Y396" s="75"/>
      <c r="Z396" s="75"/>
      <c r="AA396" s="75"/>
      <c r="AB396" s="75"/>
      <c r="AC396" s="75"/>
    </row>
    <row r="397" spans="2:29" hidden="1" x14ac:dyDescent="0.2">
      <c r="C397" s="75"/>
      <c r="D397" s="83" t="s">
        <v>4838</v>
      </c>
      <c r="E397">
        <v>25</v>
      </c>
      <c r="F397" t="s">
        <v>4837</v>
      </c>
      <c r="H397" s="75"/>
      <c r="I397" s="75"/>
      <c r="J397" s="75"/>
      <c r="K397" s="75"/>
      <c r="L397" s="75"/>
      <c r="M397" s="75"/>
      <c r="N397" s="75"/>
      <c r="O397" s="75"/>
      <c r="P397" s="75"/>
      <c r="Q397" s="75"/>
      <c r="R397" s="75"/>
      <c r="S397" s="75"/>
      <c r="T397" s="75"/>
      <c r="U397" s="75"/>
      <c r="V397" s="75"/>
      <c r="W397" s="75"/>
      <c r="X397" s="75"/>
      <c r="Y397" s="75"/>
      <c r="Z397" s="75"/>
      <c r="AA397" s="75"/>
      <c r="AB397" s="75"/>
      <c r="AC397" s="75"/>
    </row>
    <row r="398" spans="2:29" hidden="1" x14ac:dyDescent="0.2">
      <c r="C398" s="75"/>
      <c r="D398" s="75"/>
      <c r="E398">
        <v>0</v>
      </c>
      <c r="F398" t="s">
        <v>3573</v>
      </c>
      <c r="G398" t="s">
        <v>4836</v>
      </c>
      <c r="H398" s="75"/>
      <c r="I398" s="75"/>
      <c r="J398" s="75"/>
      <c r="K398" s="75"/>
      <c r="L398" s="75"/>
      <c r="M398" s="75"/>
      <c r="N398" s="75"/>
      <c r="O398" s="75"/>
      <c r="P398" s="75"/>
      <c r="Q398" s="75"/>
      <c r="R398" s="75"/>
      <c r="S398" s="75"/>
      <c r="T398" s="75"/>
      <c r="U398" s="75"/>
      <c r="V398" s="75"/>
      <c r="W398" s="75"/>
      <c r="X398" s="75"/>
      <c r="Y398" s="75"/>
      <c r="Z398" s="75"/>
      <c r="AA398" s="75"/>
      <c r="AB398" s="75"/>
      <c r="AC398" s="75"/>
    </row>
    <row r="399" spans="2:29" hidden="1" x14ac:dyDescent="0.2">
      <c r="C399" s="75"/>
      <c r="D399" s="75"/>
      <c r="H399" s="75"/>
      <c r="I399" s="75"/>
      <c r="J399" s="75"/>
      <c r="K399" s="75"/>
      <c r="L399" s="75"/>
      <c r="M399" s="75"/>
      <c r="N399" s="75"/>
      <c r="O399" s="75"/>
      <c r="P399" s="75"/>
      <c r="Q399" s="75"/>
      <c r="R399" s="75"/>
      <c r="S399" s="75"/>
      <c r="T399" s="75"/>
      <c r="U399" s="75"/>
      <c r="V399" s="75"/>
      <c r="W399" s="75"/>
      <c r="X399" s="75"/>
      <c r="Y399" s="75"/>
      <c r="Z399" s="75"/>
      <c r="AA399" s="75"/>
      <c r="AB399" s="75"/>
      <c r="AC399" s="75"/>
    </row>
    <row r="400" spans="2:29" ht="15" hidden="1" x14ac:dyDescent="0.25">
      <c r="B400" s="1755" t="s">
        <v>4835</v>
      </c>
      <c r="C400" s="75"/>
      <c r="D400" s="75"/>
      <c r="E400" s="1756">
        <f>IF(E385&lt;E394,E395,IF(E385&gt;E397,E398,E392))</f>
        <v>100</v>
      </c>
      <c r="F400" s="1755" t="s">
        <v>3703</v>
      </c>
      <c r="G400" s="106"/>
      <c r="H400" s="75"/>
      <c r="I400" s="75"/>
      <c r="J400" s="75"/>
      <c r="K400" s="75"/>
      <c r="L400" s="75"/>
      <c r="M400" s="75"/>
      <c r="N400" s="75"/>
      <c r="O400" s="75"/>
      <c r="P400" s="75"/>
      <c r="Q400" s="75"/>
      <c r="R400" s="75"/>
      <c r="S400" s="75"/>
      <c r="T400" s="75"/>
      <c r="U400" s="75"/>
      <c r="V400" s="75"/>
      <c r="W400" s="75"/>
      <c r="X400" s="75"/>
      <c r="Y400" s="75"/>
      <c r="Z400" s="75"/>
      <c r="AA400" s="75"/>
      <c r="AB400" s="75"/>
      <c r="AC400" s="75"/>
    </row>
    <row r="401" spans="2:29" hidden="1" x14ac:dyDescent="0.2">
      <c r="C401" s="75"/>
      <c r="D401" s="75"/>
      <c r="H401" s="75"/>
      <c r="I401" s="75"/>
      <c r="J401" s="75"/>
      <c r="K401" s="75"/>
      <c r="L401" s="75"/>
      <c r="M401" s="75"/>
      <c r="N401" s="75"/>
      <c r="O401" s="75"/>
      <c r="P401" s="75"/>
      <c r="Q401" s="75"/>
      <c r="R401" s="75"/>
      <c r="S401" s="75"/>
      <c r="T401" s="75"/>
      <c r="U401" s="75"/>
      <c r="V401" s="75"/>
      <c r="W401" s="75"/>
      <c r="X401" s="75"/>
      <c r="Y401" s="75"/>
      <c r="Z401" s="75"/>
      <c r="AA401" s="75"/>
      <c r="AB401" s="75"/>
      <c r="AC401" s="75"/>
    </row>
    <row r="402" spans="2:29" hidden="1" x14ac:dyDescent="0.2">
      <c r="C402" s="75"/>
      <c r="D402" s="75"/>
      <c r="H402" s="75"/>
      <c r="I402" s="75"/>
      <c r="J402" s="75"/>
      <c r="K402" s="75"/>
      <c r="L402" s="75"/>
      <c r="M402" s="75"/>
      <c r="N402" s="75"/>
      <c r="O402" s="75"/>
      <c r="P402" s="75"/>
      <c r="Q402" s="75"/>
      <c r="R402" s="75"/>
      <c r="S402" s="75"/>
      <c r="T402" s="75"/>
      <c r="U402" s="75"/>
      <c r="V402" s="75"/>
      <c r="W402" s="75"/>
      <c r="X402" s="75"/>
      <c r="Y402" s="75"/>
      <c r="Z402" s="75"/>
      <c r="AA402" s="75"/>
      <c r="AB402" s="75"/>
      <c r="AC402" s="75"/>
    </row>
    <row r="403" spans="2:29" hidden="1" x14ac:dyDescent="0.2">
      <c r="B403" t="s">
        <v>4834</v>
      </c>
      <c r="C403" s="1754">
        <f>IF(A17&gt;5,30,0)/100</f>
        <v>0</v>
      </c>
      <c r="D403" s="75"/>
      <c r="H403" s="75"/>
      <c r="I403" s="75"/>
      <c r="J403" s="75"/>
      <c r="K403" s="75"/>
      <c r="L403" s="75"/>
      <c r="M403" s="75"/>
      <c r="N403" s="75"/>
      <c r="O403" s="75"/>
      <c r="P403" s="75"/>
      <c r="Q403" s="75"/>
      <c r="R403" s="75"/>
      <c r="S403" s="75"/>
      <c r="T403" s="75"/>
      <c r="U403" s="75"/>
      <c r="V403" s="75"/>
      <c r="W403" s="75"/>
      <c r="X403" s="75"/>
      <c r="Y403" s="75"/>
      <c r="Z403" s="75"/>
      <c r="AA403" s="75"/>
      <c r="AB403" s="75"/>
      <c r="AC403" s="75"/>
    </row>
    <row r="404" spans="2:29" hidden="1" x14ac:dyDescent="0.2"/>
    <row r="405" spans="2:29" hidden="1" x14ac:dyDescent="0.2"/>
    <row r="406" spans="2:29" hidden="1" x14ac:dyDescent="0.2"/>
    <row r="407" spans="2:29" hidden="1" x14ac:dyDescent="0.2"/>
    <row r="408" spans="2:29" hidden="1" x14ac:dyDescent="0.2"/>
    <row r="409" spans="2:29" hidden="1" x14ac:dyDescent="0.2"/>
    <row r="410" spans="2:29" hidden="1" x14ac:dyDescent="0.2"/>
    <row r="411" spans="2:29" hidden="1" x14ac:dyDescent="0.2"/>
    <row r="412" spans="2:29" hidden="1" x14ac:dyDescent="0.2"/>
    <row r="413" spans="2:29" hidden="1" x14ac:dyDescent="0.2"/>
    <row r="414" spans="2:29" hidden="1" x14ac:dyDescent="0.2"/>
    <row r="415" spans="2:29" hidden="1" x14ac:dyDescent="0.2"/>
    <row r="416" spans="2:29"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sheetData>
  <sheetProtection password="8677" sheet="1" objects="1" scenarios="1"/>
  <pageMargins left="0.7" right="0.7" top="0.78740157499999996" bottom="0.78740157499999996" header="0.3" footer="0.3"/>
  <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7">
    <tabColor rgb="FFFF0000"/>
    <pageSetUpPr fitToPage="1"/>
  </sheetPr>
  <dimension ref="A1:AK174"/>
  <sheetViews>
    <sheetView topLeftCell="C1" zoomScaleNormal="100" workbookViewId="0">
      <pane ySplit="15" topLeftCell="A140" activePane="bottomLeft" state="frozen"/>
      <selection activeCell="A173" sqref="A173"/>
      <selection pane="bottomLeft" activeCell="M153" sqref="M153"/>
    </sheetView>
  </sheetViews>
  <sheetFormatPr baseColWidth="10" defaultColWidth="11.5" defaultRowHeight="14.25" x14ac:dyDescent="0.2"/>
  <cols>
    <col min="1" max="2" width="0.375" style="575" customWidth="1"/>
    <col min="3" max="3" width="0.875" style="575" customWidth="1"/>
    <col min="4" max="4" width="4" style="675" customWidth="1"/>
    <col min="5" max="5" width="2.125" style="657" customWidth="1"/>
    <col min="6" max="6" width="3.125" style="658" customWidth="1"/>
    <col min="7" max="7" width="11.375" style="675" customWidth="1"/>
    <col min="8" max="8" width="4.125" style="677" customWidth="1"/>
    <col min="9" max="9" width="7.875" style="677" customWidth="1"/>
    <col min="10" max="10" width="11.5" style="481"/>
    <col min="11" max="11" width="17.125" style="575" customWidth="1"/>
    <col min="12" max="12" width="11.5" style="575"/>
    <col min="13" max="13" width="12.75" style="575" customWidth="1"/>
    <col min="14" max="14" width="31.875" style="575" customWidth="1"/>
    <col min="15" max="16" width="11.5" style="675"/>
    <col min="17" max="17" width="29.375" style="675" customWidth="1"/>
    <col min="18" max="18" width="11.5" style="678"/>
    <col min="19" max="19" width="11.5" style="481"/>
    <col min="20" max="16384" width="11.5" style="575"/>
  </cols>
  <sheetData>
    <row r="1" spans="2:37" s="595" customFormat="1" ht="31.7" customHeight="1" x14ac:dyDescent="0.2">
      <c r="B1" s="575"/>
      <c r="C1" s="597"/>
      <c r="D1" s="657"/>
      <c r="E1" s="657"/>
      <c r="F1" s="657"/>
      <c r="G1" s="582"/>
      <c r="J1" s="1289" t="str">
        <f>Startmenue!G2</f>
        <v>Version 1.2</v>
      </c>
      <c r="O1" s="658"/>
      <c r="P1" s="658"/>
      <c r="Q1" s="658"/>
      <c r="U1" s="597"/>
      <c r="AE1" s="597"/>
      <c r="AJ1" s="597"/>
      <c r="AK1" s="597"/>
    </row>
    <row r="2" spans="2:37" ht="0.75" customHeight="1" x14ac:dyDescent="0.2"/>
    <row r="3" spans="2:37" ht="0.75" customHeight="1" x14ac:dyDescent="0.2"/>
    <row r="4" spans="2:37" s="676" customFormat="1" ht="2.85" customHeight="1" x14ac:dyDescent="0.2">
      <c r="D4" s="675"/>
      <c r="E4" s="680">
        <f>COLUMNS($E$4:E4)</f>
        <v>1</v>
      </c>
      <c r="F4" s="680">
        <f>COLUMNS($E$4:F4)</f>
        <v>2</v>
      </c>
      <c r="G4" s="679">
        <f>COLUMNS($E$4:G4)</f>
        <v>3</v>
      </c>
      <c r="H4" s="680">
        <f>COLUMNS($E$4:H4)</f>
        <v>4</v>
      </c>
      <c r="I4" s="680">
        <f>COLUMNS($E$4:I4)</f>
        <v>5</v>
      </c>
      <c r="J4" s="679">
        <f>COLUMNS($E$4:J4)</f>
        <v>6</v>
      </c>
      <c r="K4" s="679">
        <f>COLUMNS($E$4:K4)</f>
        <v>7</v>
      </c>
      <c r="L4" s="679"/>
      <c r="M4" s="679"/>
      <c r="N4" s="679"/>
      <c r="O4" s="675"/>
      <c r="P4" s="675"/>
      <c r="Q4" s="675"/>
      <c r="R4" s="681"/>
      <c r="S4" s="675"/>
    </row>
    <row r="5" spans="2:37" ht="0.75" customHeight="1" x14ac:dyDescent="0.2">
      <c r="E5" s="680"/>
      <c r="F5" s="680"/>
      <c r="G5" s="679"/>
      <c r="H5" s="584"/>
      <c r="I5" s="584"/>
      <c r="J5" s="682"/>
      <c r="K5" s="682"/>
      <c r="L5" s="682"/>
      <c r="M5" s="682"/>
      <c r="N5" s="682"/>
    </row>
    <row r="6" spans="2:37" ht="0.75" customHeight="1" x14ac:dyDescent="0.2">
      <c r="E6" s="680"/>
      <c r="F6" s="680"/>
      <c r="G6" s="679"/>
      <c r="H6" s="584"/>
      <c r="I6" s="584"/>
      <c r="J6" s="682"/>
      <c r="K6" s="682"/>
      <c r="L6" s="682"/>
      <c r="M6" s="682"/>
      <c r="N6" s="682"/>
    </row>
    <row r="7" spans="2:37" x14ac:dyDescent="0.2">
      <c r="D7" s="1286" t="s">
        <v>4368</v>
      </c>
      <c r="E7" s="680"/>
      <c r="F7" s="680"/>
      <c r="G7" s="679"/>
      <c r="H7" s="584"/>
      <c r="I7" s="1429" t="s">
        <v>4414</v>
      </c>
      <c r="J7" s="1430"/>
      <c r="K7" s="1430"/>
      <c r="L7" s="1430"/>
      <c r="M7" s="1430"/>
      <c r="N7" s="1430"/>
      <c r="O7" s="1431"/>
    </row>
    <row r="8" spans="2:37" ht="12.95" customHeight="1" x14ac:dyDescent="0.2">
      <c r="D8" s="1286" t="s">
        <v>4369</v>
      </c>
      <c r="E8" s="680"/>
      <c r="F8" s="680"/>
      <c r="G8" s="679"/>
      <c r="H8" s="584"/>
      <c r="I8" s="584"/>
      <c r="J8" s="682"/>
      <c r="K8" s="682"/>
      <c r="L8" s="682"/>
      <c r="M8" s="682"/>
      <c r="N8" s="682"/>
    </row>
    <row r="9" spans="2:37" ht="0.75" customHeight="1" x14ac:dyDescent="0.2">
      <c r="E9" s="680"/>
      <c r="F9" s="680"/>
      <c r="G9" s="679"/>
      <c r="H9" s="584"/>
      <c r="I9" s="584"/>
      <c r="J9" s="682"/>
      <c r="K9" s="682"/>
      <c r="L9" s="682"/>
      <c r="M9" s="682"/>
      <c r="N9" s="682"/>
    </row>
    <row r="10" spans="2:37" ht="0.75" customHeight="1" x14ac:dyDescent="0.2">
      <c r="D10" s="942"/>
      <c r="E10" s="806"/>
      <c r="F10" s="806"/>
      <c r="G10" s="942"/>
      <c r="H10" s="864"/>
      <c r="I10" s="864"/>
      <c r="J10" s="943"/>
      <c r="K10" s="943"/>
      <c r="L10" s="943"/>
      <c r="M10" s="943"/>
      <c r="N10" s="943"/>
      <c r="O10" s="908"/>
      <c r="P10" s="908"/>
      <c r="Q10" s="908"/>
      <c r="R10" s="944"/>
    </row>
    <row r="11" spans="2:37" s="599" customFormat="1" x14ac:dyDescent="0.2">
      <c r="C11" s="929"/>
      <c r="D11" s="2016" t="s">
        <v>4254</v>
      </c>
      <c r="E11" s="2024" t="s">
        <v>4253</v>
      </c>
      <c r="F11" s="2009" t="s">
        <v>4253</v>
      </c>
      <c r="G11" s="2030" t="s">
        <v>4566</v>
      </c>
      <c r="H11" s="936" t="s">
        <v>48</v>
      </c>
      <c r="I11" s="936" t="s">
        <v>4235</v>
      </c>
      <c r="J11" s="1118" t="s">
        <v>4167</v>
      </c>
      <c r="K11" s="933"/>
      <c r="L11" s="933"/>
      <c r="M11" s="933"/>
      <c r="N11" s="933"/>
      <c r="O11" s="931" t="s">
        <v>3955</v>
      </c>
      <c r="P11" s="930"/>
      <c r="Q11" s="930"/>
      <c r="R11" s="939" t="s">
        <v>4108</v>
      </c>
      <c r="S11" s="934"/>
    </row>
    <row r="12" spans="2:37" x14ac:dyDescent="0.2">
      <c r="C12" s="149"/>
      <c r="D12" s="2017"/>
      <c r="E12" s="2025"/>
      <c r="F12" s="2010"/>
      <c r="G12" s="2031"/>
      <c r="H12" s="683"/>
      <c r="I12" s="683">
        <v>1</v>
      </c>
      <c r="J12" s="684" t="s">
        <v>4396</v>
      </c>
      <c r="R12" s="910"/>
      <c r="S12" s="907"/>
    </row>
    <row r="13" spans="2:37" x14ac:dyDescent="0.2">
      <c r="C13" s="149"/>
      <c r="D13" s="2017"/>
      <c r="E13" s="2025"/>
      <c r="F13" s="2010"/>
      <c r="G13" s="2031"/>
      <c r="H13" s="683"/>
      <c r="I13" s="683"/>
      <c r="J13" s="684"/>
      <c r="R13" s="910"/>
      <c r="S13" s="907"/>
    </row>
    <row r="14" spans="2:37" x14ac:dyDescent="0.2">
      <c r="C14" s="149"/>
      <c r="D14" s="2017"/>
      <c r="E14" s="2025"/>
      <c r="F14" s="2010"/>
      <c r="G14" s="2031"/>
      <c r="H14" s="683">
        <v>75</v>
      </c>
      <c r="I14" s="683">
        <v>2</v>
      </c>
      <c r="J14" s="684" t="s">
        <v>4397</v>
      </c>
      <c r="R14" s="910"/>
      <c r="S14" s="907"/>
    </row>
    <row r="15" spans="2:37" ht="15.6" customHeight="1" x14ac:dyDescent="0.2">
      <c r="C15" s="149"/>
      <c r="D15" s="2017" t="s">
        <v>4254</v>
      </c>
      <c r="E15" s="2025"/>
      <c r="F15" s="2011"/>
      <c r="G15" s="2031"/>
      <c r="H15" s="683"/>
      <c r="I15" s="683"/>
      <c r="K15" s="1438" t="s">
        <v>4175</v>
      </c>
      <c r="L15" s="685">
        <v>50</v>
      </c>
      <c r="M15" s="481" t="s">
        <v>3703</v>
      </c>
      <c r="R15" s="910"/>
      <c r="S15" s="907"/>
    </row>
    <row r="16" spans="2:37" ht="13.7" x14ac:dyDescent="0.2">
      <c r="C16" s="149"/>
      <c r="D16" s="973"/>
      <c r="E16" s="826"/>
      <c r="F16" s="988"/>
      <c r="G16" s="981"/>
      <c r="H16" s="912"/>
      <c r="I16" s="912"/>
      <c r="J16" s="1433"/>
      <c r="K16" s="914"/>
      <c r="L16" s="914"/>
      <c r="M16" s="914"/>
      <c r="N16" s="914"/>
      <c r="O16" s="915"/>
      <c r="P16" s="915"/>
      <c r="Q16" s="915"/>
      <c r="R16" s="916"/>
      <c r="S16" s="907"/>
    </row>
    <row r="17" spans="1:20" s="599" customFormat="1" ht="14.25" customHeight="1" x14ac:dyDescent="0.2">
      <c r="C17" s="929"/>
      <c r="D17" s="974"/>
      <c r="E17" s="995">
        <f>IF(F17&gt;F16,F17,"")</f>
        <v>1</v>
      </c>
      <c r="F17" s="996">
        <f>COUNTIF($G$17:G17,1)</f>
        <v>1</v>
      </c>
      <c r="G17" s="982">
        <v>1</v>
      </c>
      <c r="H17" s="945"/>
      <c r="I17" s="945"/>
      <c r="J17" s="1434" t="s">
        <v>4427</v>
      </c>
      <c r="K17" s="945"/>
      <c r="L17" s="945"/>
      <c r="M17" s="945"/>
      <c r="N17" s="945"/>
      <c r="O17" s="946"/>
      <c r="P17" s="946"/>
      <c r="Q17" s="946"/>
      <c r="R17" s="1435"/>
      <c r="S17" s="934"/>
    </row>
    <row r="18" spans="1:20" ht="4.7" customHeight="1" x14ac:dyDescent="0.2">
      <c r="C18" s="149"/>
      <c r="D18" s="975"/>
      <c r="E18" s="989" t="str">
        <f t="shared" ref="E18:E71" si="0">IF(F18&gt;F17,F18,"")</f>
        <v/>
      </c>
      <c r="F18" s="990">
        <f>COUNTIF($G$17:G18,1)</f>
        <v>1</v>
      </c>
      <c r="G18" s="983">
        <v>0</v>
      </c>
      <c r="H18" s="683"/>
      <c r="I18" s="683"/>
      <c r="R18" s="910"/>
      <c r="S18" s="907"/>
    </row>
    <row r="19" spans="1:20" ht="13.7" x14ac:dyDescent="0.2">
      <c r="C19" s="149"/>
      <c r="D19" s="975"/>
      <c r="E19" s="989" t="str">
        <f t="shared" si="0"/>
        <v/>
      </c>
      <c r="F19" s="990">
        <f>COUNTIF($G$17:G19,1)</f>
        <v>1</v>
      </c>
      <c r="G19" s="983">
        <v>0</v>
      </c>
      <c r="H19" s="689" t="s">
        <v>4107</v>
      </c>
      <c r="I19" s="683"/>
      <c r="R19" s="910"/>
      <c r="S19" s="907"/>
    </row>
    <row r="20" spans="1:20" ht="13.7" x14ac:dyDescent="0.2">
      <c r="C20" s="149"/>
      <c r="D20" s="975"/>
      <c r="E20" s="989" t="str">
        <f t="shared" si="0"/>
        <v/>
      </c>
      <c r="F20" s="990">
        <f>COUNTIF($G$17:G20,1)</f>
        <v>1</v>
      </c>
      <c r="G20" s="983">
        <v>0</v>
      </c>
      <c r="H20" s="689" t="s">
        <v>4393</v>
      </c>
      <c r="I20" s="683"/>
      <c r="R20" s="910"/>
      <c r="S20" s="907"/>
    </row>
    <row r="21" spans="1:20" ht="13.7" x14ac:dyDescent="0.2">
      <c r="C21" s="149"/>
      <c r="D21" s="975"/>
      <c r="E21" s="989" t="str">
        <f t="shared" si="0"/>
        <v/>
      </c>
      <c r="F21" s="990">
        <f>COUNTIF($G$17:G21,1)</f>
        <v>1</v>
      </c>
      <c r="G21" s="983">
        <v>0</v>
      </c>
      <c r="H21" s="683"/>
      <c r="I21" s="683"/>
      <c r="R21" s="910"/>
      <c r="S21" s="907"/>
    </row>
    <row r="22" spans="1:20" ht="13.7" x14ac:dyDescent="0.2">
      <c r="C22" s="149"/>
      <c r="D22" s="975"/>
      <c r="E22" s="989" t="str">
        <f t="shared" si="0"/>
        <v/>
      </c>
      <c r="F22" s="990">
        <f>COUNTIF($G$17:G22,1)</f>
        <v>1</v>
      </c>
      <c r="G22" s="983">
        <v>0</v>
      </c>
      <c r="H22" s="683"/>
      <c r="I22" s="683"/>
      <c r="R22" s="910"/>
      <c r="S22" s="907"/>
    </row>
    <row r="23" spans="1:20" x14ac:dyDescent="0.2">
      <c r="A23" s="595"/>
      <c r="B23" s="595"/>
      <c r="C23" s="149"/>
      <c r="D23" s="976">
        <v>1</v>
      </c>
      <c r="E23" s="989">
        <f t="shared" si="0"/>
        <v>2</v>
      </c>
      <c r="F23" s="990">
        <f>COUNTIF($G$17:G23,1)</f>
        <v>2</v>
      </c>
      <c r="G23" s="983">
        <f>IF($R$23=1,1,0)</f>
        <v>1</v>
      </c>
      <c r="H23" s="683">
        <v>21</v>
      </c>
      <c r="I23" s="686">
        <v>1</v>
      </c>
      <c r="J23" s="684" t="s">
        <v>4476</v>
      </c>
      <c r="O23" s="675" t="s">
        <v>4394</v>
      </c>
      <c r="R23" s="910">
        <f>IF(AB_Eingabe!$M$21=1,1,0)</f>
        <v>1</v>
      </c>
      <c r="S23" s="1556"/>
    </row>
    <row r="24" spans="1:20" ht="53.1" customHeight="1" x14ac:dyDescent="0.2">
      <c r="A24" s="595"/>
      <c r="B24" s="595"/>
      <c r="C24" s="149"/>
      <c r="D24" s="976">
        <v>2</v>
      </c>
      <c r="E24" s="989" t="str">
        <f t="shared" si="0"/>
        <v/>
      </c>
      <c r="F24" s="990">
        <f>COUNTIF($G$17:G24,1)</f>
        <v>2</v>
      </c>
      <c r="G24" s="983">
        <f>IF(AB_Eingabe!M21=1,0,$R$24)</f>
        <v>0</v>
      </c>
      <c r="H24" s="683">
        <v>69</v>
      </c>
      <c r="I24" s="683">
        <v>2</v>
      </c>
      <c r="J24" s="481" t="s">
        <v>3969</v>
      </c>
      <c r="O24" s="2012" t="s">
        <v>4166</v>
      </c>
      <c r="P24" s="2012"/>
      <c r="Q24" s="2012"/>
      <c r="R24" s="910">
        <f>IF(Kulturen!$I$324&gt;1,1,0)</f>
        <v>1</v>
      </c>
      <c r="S24" s="1556"/>
    </row>
    <row r="25" spans="1:20" ht="40.700000000000003" customHeight="1" x14ac:dyDescent="0.2">
      <c r="A25" s="595"/>
      <c r="B25" s="595"/>
      <c r="C25" s="149"/>
      <c r="D25" s="976">
        <v>3</v>
      </c>
      <c r="E25" s="989" t="str">
        <f t="shared" si="0"/>
        <v/>
      </c>
      <c r="F25" s="990">
        <f>COUNTIF($G$17:G25,1)</f>
        <v>2</v>
      </c>
      <c r="G25" s="983">
        <f>IF(AB_Eingabe!M21=1,0,$R$25)</f>
        <v>0</v>
      </c>
      <c r="H25" s="683">
        <v>70</v>
      </c>
      <c r="I25" s="683">
        <v>3</v>
      </c>
      <c r="J25" s="481" t="s">
        <v>3970</v>
      </c>
      <c r="O25" s="2012" t="s">
        <v>4165</v>
      </c>
      <c r="P25" s="2012"/>
      <c r="Q25" s="2012"/>
      <c r="R25" s="910">
        <f>IF(Kulturen!H228=1,IF(Kulturen!$I$324=1,1,0),0)</f>
        <v>0</v>
      </c>
      <c r="S25" s="1556"/>
    </row>
    <row r="26" spans="1:20" x14ac:dyDescent="0.2">
      <c r="A26" s="595"/>
      <c r="B26" s="595"/>
      <c r="C26" s="149"/>
      <c r="D26" s="976">
        <v>4</v>
      </c>
      <c r="E26" s="989" t="str">
        <f t="shared" si="0"/>
        <v/>
      </c>
      <c r="F26" s="990">
        <f>COUNTIF($G$17:G26,1)</f>
        <v>2</v>
      </c>
      <c r="G26" s="983">
        <f>IF(AB_Eingabe!M21=1,0,$R$26)</f>
        <v>0</v>
      </c>
      <c r="H26" s="683">
        <v>9</v>
      </c>
      <c r="I26" s="683">
        <v>4</v>
      </c>
      <c r="J26" s="481" t="s">
        <v>4285</v>
      </c>
      <c r="O26" s="1072"/>
      <c r="P26" s="1072"/>
      <c r="Q26" s="1072"/>
      <c r="R26" s="910">
        <f>IF(AND(AB_Eingabe!J31="",AB_Eingabe!J29=""),1,0)</f>
        <v>1</v>
      </c>
      <c r="S26" s="1556"/>
    </row>
    <row r="27" spans="1:20" x14ac:dyDescent="0.2">
      <c r="A27" s="595"/>
      <c r="B27" s="595"/>
      <c r="C27" s="149"/>
      <c r="D27" s="976">
        <v>5</v>
      </c>
      <c r="E27" s="989" t="str">
        <f t="shared" si="0"/>
        <v/>
      </c>
      <c r="F27" s="990">
        <f>COUNTIF($G$17:G27,1)</f>
        <v>2</v>
      </c>
      <c r="G27" s="983">
        <f>IF(AB_Eingabe!M21=1,0,IF($R$27="Leguminose",1,0))</f>
        <v>0</v>
      </c>
      <c r="H27" s="683">
        <v>1</v>
      </c>
      <c r="I27" s="683">
        <v>5</v>
      </c>
      <c r="J27" s="481" t="s">
        <v>3956</v>
      </c>
      <c r="O27" s="675" t="s">
        <v>4106</v>
      </c>
      <c r="R27" s="910">
        <f>Kulturen!$H$230</f>
        <v>0</v>
      </c>
      <c r="S27" s="1556"/>
    </row>
    <row r="28" spans="1:20" ht="58.7" customHeight="1" x14ac:dyDescent="0.2">
      <c r="C28" s="149"/>
      <c r="D28" s="976">
        <v>6</v>
      </c>
      <c r="E28" s="989" t="str">
        <f t="shared" si="0"/>
        <v/>
      </c>
      <c r="F28" s="990">
        <f>COUNTIF($G$17:G28,1)</f>
        <v>2</v>
      </c>
      <c r="G28" s="983">
        <f>IF(AB_Eingabe!M21=1,0,$R$28)</f>
        <v>0</v>
      </c>
      <c r="H28" s="683">
        <v>76</v>
      </c>
      <c r="I28" s="683">
        <v>6</v>
      </c>
      <c r="J28" s="2019" t="s">
        <v>3974</v>
      </c>
      <c r="K28" s="2020"/>
      <c r="L28" s="2020"/>
      <c r="M28" s="2020"/>
      <c r="N28" s="2021"/>
      <c r="O28" s="2012" t="s">
        <v>4176</v>
      </c>
      <c r="P28" s="2012"/>
      <c r="Q28" s="2012"/>
      <c r="R28" s="910">
        <v>0</v>
      </c>
      <c r="S28" s="1556"/>
    </row>
    <row r="29" spans="1:20" x14ac:dyDescent="0.2">
      <c r="C29" s="149"/>
      <c r="D29" s="976">
        <v>7</v>
      </c>
      <c r="E29" s="989" t="str">
        <f t="shared" si="0"/>
        <v/>
      </c>
      <c r="F29" s="990">
        <f>COUNTIF($G$17:G29,1)</f>
        <v>2</v>
      </c>
      <c r="G29" s="983">
        <f>IF(AB_Eingabe!M21=1,0,$R$29)</f>
        <v>0</v>
      </c>
      <c r="H29" s="683">
        <v>7</v>
      </c>
      <c r="I29" s="683">
        <v>7</v>
      </c>
      <c r="J29" s="481" t="s">
        <v>3958</v>
      </c>
      <c r="O29" s="675" t="s">
        <v>4111</v>
      </c>
      <c r="R29" s="910">
        <f>IF(Kulturen!$H$407&gt;Ertraege_Duengemengen!D65,1,0)</f>
        <v>0</v>
      </c>
      <c r="S29" s="1556"/>
    </row>
    <row r="30" spans="1:20" ht="95.85" customHeight="1" x14ac:dyDescent="0.2">
      <c r="C30" s="149"/>
      <c r="D30" s="976">
        <v>8</v>
      </c>
      <c r="E30" s="989" t="str">
        <f t="shared" si="0"/>
        <v/>
      </c>
      <c r="F30" s="990">
        <f>COUNTIF($G$17:G30,1)</f>
        <v>2</v>
      </c>
      <c r="G30" s="983">
        <f>IF(AB_Eingabe!M21=1,0,$R$30)</f>
        <v>0</v>
      </c>
      <c r="H30" s="683">
        <v>8</v>
      </c>
      <c r="I30" s="683">
        <v>8</v>
      </c>
      <c r="J30" s="481" t="s">
        <v>3959</v>
      </c>
      <c r="O30" s="2012" t="s">
        <v>3960</v>
      </c>
      <c r="P30" s="2012"/>
      <c r="Q30" s="2012"/>
      <c r="R30" s="910">
        <f>IF(Ertraege_Duengemengen!X59&gt;5,IF(Ertraege_Duengemengen!D64&lt;Ertraege_Duengemengen!D62,1,0),IF(Ertraege_Duengemengen!D64&lt;Ertraege_Duengemengen!D58,1,0))</f>
        <v>0</v>
      </c>
      <c r="S30" s="1557"/>
      <c r="T30" s="1031"/>
    </row>
    <row r="31" spans="1:20" x14ac:dyDescent="0.2">
      <c r="C31" s="149"/>
      <c r="D31" s="976">
        <v>9</v>
      </c>
      <c r="E31" s="989" t="str">
        <f t="shared" si="0"/>
        <v/>
      </c>
      <c r="F31" s="990">
        <f>COUNTIF($G$17:G31,1)</f>
        <v>2</v>
      </c>
      <c r="G31" s="983">
        <f>IF(AB_Eingabe!M21=1,0,$R$31)</f>
        <v>0</v>
      </c>
      <c r="H31" s="683">
        <v>6</v>
      </c>
      <c r="I31" s="683">
        <v>9</v>
      </c>
      <c r="J31" s="481" t="s">
        <v>3957</v>
      </c>
      <c r="O31" s="675" t="s">
        <v>4110</v>
      </c>
      <c r="R31" s="910">
        <f>IF(Ertraege_Duengemengen!$D$33&gt;Ertraege_Duengemengen!$D$29,1,0)</f>
        <v>0</v>
      </c>
      <c r="S31" s="1556"/>
    </row>
    <row r="32" spans="1:20" x14ac:dyDescent="0.2">
      <c r="C32" s="149"/>
      <c r="D32" s="976">
        <v>10</v>
      </c>
      <c r="E32" s="989" t="str">
        <f t="shared" si="0"/>
        <v/>
      </c>
      <c r="F32" s="990">
        <f>COUNTIF($G$17:G32,1)</f>
        <v>2</v>
      </c>
      <c r="G32" s="983">
        <f>IF(AB_Eingabe!M21=1,0,$R$32)</f>
        <v>0</v>
      </c>
      <c r="H32" s="683">
        <v>33</v>
      </c>
      <c r="I32" s="683">
        <v>10</v>
      </c>
      <c r="J32" s="481" t="s">
        <v>3966</v>
      </c>
      <c r="O32" s="675" t="s">
        <v>4164</v>
      </c>
      <c r="R32" s="910">
        <f>IF(Ertraege_Duengemengen!$D$33&lt;Ertraege_Duengemengen!$D$31,1,0)</f>
        <v>0</v>
      </c>
      <c r="S32" s="1556"/>
    </row>
    <row r="33" spans="3:19" x14ac:dyDescent="0.2">
      <c r="C33" s="149"/>
      <c r="D33" s="976">
        <v>11</v>
      </c>
      <c r="E33" s="989" t="str">
        <f t="shared" si="0"/>
        <v/>
      </c>
      <c r="F33" s="990">
        <f>COUNTIF($G$17:G33,1)</f>
        <v>2</v>
      </c>
      <c r="G33" s="983">
        <f>IF(AB_Eingabe!M21=1,0,$R$33)</f>
        <v>0</v>
      </c>
      <c r="H33" s="683">
        <v>16</v>
      </c>
      <c r="I33" s="683">
        <v>11</v>
      </c>
      <c r="J33" s="481" t="s">
        <v>3961</v>
      </c>
      <c r="R33" s="910">
        <f>IF(Kulturen!H228=1,IF(AB_Eingabe!$E$42=0,1,0),0)</f>
        <v>0</v>
      </c>
      <c r="S33" s="1556"/>
    </row>
    <row r="34" spans="3:19" ht="27.75" customHeight="1" x14ac:dyDescent="0.2">
      <c r="C34" s="149"/>
      <c r="D34" s="976">
        <v>12</v>
      </c>
      <c r="E34" s="989" t="str">
        <f t="shared" si="0"/>
        <v/>
      </c>
      <c r="F34" s="990">
        <f>COUNTIF($G$17:G34,1)</f>
        <v>2</v>
      </c>
      <c r="G34" s="983">
        <f>IF(AB_Eingabe!M21=1,0,$R$34)</f>
        <v>0</v>
      </c>
      <c r="H34" s="683">
        <v>71</v>
      </c>
      <c r="I34" s="683">
        <v>12</v>
      </c>
      <c r="J34" s="2019" t="s">
        <v>3971</v>
      </c>
      <c r="K34" s="2020"/>
      <c r="L34" s="2020"/>
      <c r="M34" s="2020"/>
      <c r="N34" s="2021"/>
      <c r="O34" s="2037" t="s">
        <v>3972</v>
      </c>
      <c r="P34" s="2037"/>
      <c r="Q34" s="2037"/>
      <c r="R34" s="910">
        <f>IF(OR(AB_Eingabe!$M$40&gt;5,AB_Eingabe!$M$41&gt;3),1,0)</f>
        <v>0</v>
      </c>
      <c r="S34" s="1556"/>
    </row>
    <row r="35" spans="3:19" x14ac:dyDescent="0.2">
      <c r="C35" s="149"/>
      <c r="D35" s="976">
        <v>13</v>
      </c>
      <c r="E35" s="989" t="str">
        <f t="shared" si="0"/>
        <v/>
      </c>
      <c r="F35" s="990">
        <f>COUNTIF($G$17:G35,1)</f>
        <v>2</v>
      </c>
      <c r="G35" s="983">
        <f>IF(AB_Eingabe!M21=1,0,$R$35)</f>
        <v>0</v>
      </c>
      <c r="H35" s="683">
        <v>18</v>
      </c>
      <c r="I35" s="683">
        <v>13</v>
      </c>
      <c r="J35" s="481" t="s">
        <v>3962</v>
      </c>
      <c r="R35" s="910">
        <f>IF(AND(AB_Eingabe!$M$40&gt;5,AB_Eingabe!$M$41&gt;3),1,0)</f>
        <v>0</v>
      </c>
      <c r="S35" s="1556"/>
    </row>
    <row r="36" spans="3:19" s="595" customFormat="1" x14ac:dyDescent="0.2">
      <c r="C36" s="876"/>
      <c r="D36" s="976">
        <v>14</v>
      </c>
      <c r="E36" s="989" t="str">
        <f t="shared" si="0"/>
        <v/>
      </c>
      <c r="F36" s="990">
        <f>COUNTIF($G$17:G36,1)</f>
        <v>2</v>
      </c>
      <c r="G36" s="984">
        <f>IF(AB_Eingabe!M21=1,0,$R$36)</f>
        <v>0</v>
      </c>
      <c r="H36" s="1526">
        <v>24</v>
      </c>
      <c r="I36" s="683">
        <v>14</v>
      </c>
      <c r="J36" s="687" t="s">
        <v>4439</v>
      </c>
      <c r="O36" s="658"/>
      <c r="P36" s="658"/>
      <c r="Q36" s="658"/>
      <c r="R36" s="911">
        <f>IF(AND(ISBLANK(AB_Eingabe!$H$48),NOT(AB_Eingabe!M49=1)),1,0)</f>
        <v>0</v>
      </c>
      <c r="S36" s="1556"/>
    </row>
    <row r="37" spans="3:19" s="595" customFormat="1" x14ac:dyDescent="0.2">
      <c r="C37" s="876"/>
      <c r="D37" s="976">
        <v>15</v>
      </c>
      <c r="E37" s="989" t="str">
        <f t="shared" si="0"/>
        <v/>
      </c>
      <c r="F37" s="990">
        <f>COUNTIF($G$17:G37,1)</f>
        <v>2</v>
      </c>
      <c r="G37" s="984">
        <f>IF(AB_Eingabe!M21=1,0,$R$37)</f>
        <v>0</v>
      </c>
      <c r="H37" s="1526">
        <v>24</v>
      </c>
      <c r="I37" s="683">
        <v>15</v>
      </c>
      <c r="J37" s="687" t="s">
        <v>4440</v>
      </c>
      <c r="O37" s="658"/>
      <c r="P37" s="658"/>
      <c r="Q37" s="658"/>
      <c r="R37" s="911">
        <f>IF(AND(ISBLANK(AB_Eingabe!$H$52),NOT(AB_Eingabe!M52=1)),1,0)</f>
        <v>0</v>
      </c>
      <c r="S37" s="1556"/>
    </row>
    <row r="38" spans="3:19" s="595" customFormat="1" x14ac:dyDescent="0.2">
      <c r="C38" s="876"/>
      <c r="D38" s="976">
        <v>16</v>
      </c>
      <c r="E38" s="989" t="str">
        <f t="shared" ref="E38" si="1">IF(F38&gt;F37,F38,"")</f>
        <v/>
      </c>
      <c r="F38" s="990">
        <f>COUNTIF($G$17:G38,1)</f>
        <v>2</v>
      </c>
      <c r="G38" s="984">
        <f>IF(AB_Eingabe!M21=1,0,$R$37)</f>
        <v>0</v>
      </c>
      <c r="H38" s="683">
        <v>24</v>
      </c>
      <c r="I38" s="683">
        <v>16</v>
      </c>
      <c r="J38" s="687" t="s">
        <v>4538</v>
      </c>
      <c r="O38" s="658"/>
      <c r="P38" s="658"/>
      <c r="Q38" s="658"/>
      <c r="R38" s="911">
        <f>IF(AND(OR(ISBLANK(AB_Eingabe!$F$56),ISBLANK(AB_Eingabe!$G$56),ISBLANK(AB_Eingabe!$H$56)),AB_Eingabe!$M$56&lt;4),1,0)</f>
        <v>0</v>
      </c>
      <c r="S38" s="1556"/>
    </row>
    <row r="39" spans="3:19" x14ac:dyDescent="0.2">
      <c r="C39" s="149"/>
      <c r="D39" s="976">
        <v>17</v>
      </c>
      <c r="E39" s="989" t="str">
        <f>IF(F39&gt;F37,F39,"")</f>
        <v/>
      </c>
      <c r="F39" s="990">
        <f>COUNTIF($G$17:G39,1)</f>
        <v>2</v>
      </c>
      <c r="G39" s="984">
        <f>IF(AB_Eingabe!M21=1,0,R39)</f>
        <v>0</v>
      </c>
      <c r="H39" s="683">
        <v>25</v>
      </c>
      <c r="I39" s="683">
        <v>17</v>
      </c>
      <c r="J39" s="687" t="s">
        <v>4441</v>
      </c>
      <c r="K39" s="595"/>
      <c r="L39" s="595"/>
      <c r="M39" s="595"/>
      <c r="N39" s="595"/>
      <c r="R39" s="910">
        <f>IF(OR(R36=1,R37=1,R47=1),0,IF(AND(AB_Eingabe!$M$49&gt;1,ISBLANK(AB_Eingabe!$J$48)),1,0))</f>
        <v>0</v>
      </c>
      <c r="S39" s="1556"/>
    </row>
    <row r="40" spans="3:19" x14ac:dyDescent="0.2">
      <c r="C40" s="149"/>
      <c r="D40" s="976">
        <v>18</v>
      </c>
      <c r="E40" s="989" t="str">
        <f t="shared" si="0"/>
        <v/>
      </c>
      <c r="F40" s="990">
        <f>COUNTIF($G$17:G40,1)</f>
        <v>2</v>
      </c>
      <c r="G40" s="984">
        <f>IF(AB_Eingabe!M21=1,0,R40)</f>
        <v>0</v>
      </c>
      <c r="H40" s="683">
        <v>25</v>
      </c>
      <c r="I40" s="683">
        <v>18</v>
      </c>
      <c r="J40" s="687" t="s">
        <v>4442</v>
      </c>
      <c r="K40" s="595"/>
      <c r="L40" s="595"/>
      <c r="M40" s="595"/>
      <c r="N40" s="595"/>
      <c r="R40" s="910">
        <f>IF(OR(R36=1,R37=1,R47=1),0,IF(AND(AB_Eingabe!$M$52&gt;1,ISBLANK(AB_Eingabe!$J$52)),1,0))</f>
        <v>0</v>
      </c>
      <c r="S40" s="1556"/>
    </row>
    <row r="41" spans="3:19" x14ac:dyDescent="0.2">
      <c r="C41" s="149"/>
      <c r="D41" s="976">
        <v>19</v>
      </c>
      <c r="E41" s="989" t="str">
        <f t="shared" ref="E41" si="2">IF(F41&gt;F40,F41,"")</f>
        <v/>
      </c>
      <c r="F41" s="990">
        <f>COUNTIF($G$17:G41,1)</f>
        <v>2</v>
      </c>
      <c r="G41" s="984">
        <f>IF(AB_Eingabe!M21=1,0,R41)</f>
        <v>0</v>
      </c>
      <c r="H41" s="683">
        <v>25</v>
      </c>
      <c r="I41" s="683">
        <v>19</v>
      </c>
      <c r="J41" s="687" t="s">
        <v>4539</v>
      </c>
      <c r="K41" s="595"/>
      <c r="L41" s="595"/>
      <c r="M41" s="595"/>
      <c r="N41" s="595"/>
      <c r="R41" s="910">
        <f>IF(AND(AB_Eingabe!$M$56&lt;4,ISBLANK(AB_Eingabe!$J$56)),1,0)</f>
        <v>0</v>
      </c>
      <c r="S41" s="1556"/>
    </row>
    <row r="42" spans="3:19" x14ac:dyDescent="0.2">
      <c r="C42" s="149"/>
      <c r="D42" s="976">
        <v>20</v>
      </c>
      <c r="E42" s="989" t="str">
        <f>IF(F42&gt;F40,F42,"")</f>
        <v/>
      </c>
      <c r="F42" s="990">
        <f>COUNTIF($G$17:G42,1)</f>
        <v>2</v>
      </c>
      <c r="G42" s="984">
        <f>IF(AB_Eingabe!M21=1,0,R42)</f>
        <v>0</v>
      </c>
      <c r="H42" s="683">
        <v>22</v>
      </c>
      <c r="I42" s="683">
        <v>20</v>
      </c>
      <c r="J42" s="687" t="s">
        <v>3963</v>
      </c>
      <c r="K42" s="595"/>
      <c r="L42" s="595"/>
      <c r="M42" s="595"/>
      <c r="N42" s="595"/>
      <c r="R42" s="910">
        <f>IF(AB_Eingabe!$M$60=1,1,0)</f>
        <v>1</v>
      </c>
      <c r="S42" s="1556"/>
    </row>
    <row r="43" spans="3:19" x14ac:dyDescent="0.2">
      <c r="C43" s="149"/>
      <c r="D43" s="976">
        <v>21</v>
      </c>
      <c r="E43" s="989" t="str">
        <f t="shared" si="0"/>
        <v/>
      </c>
      <c r="F43" s="990">
        <f>COUNTIF($G$17:G43,1)</f>
        <v>2</v>
      </c>
      <c r="G43" s="984">
        <f>IF(AB_Eingabe!M21=1,0,R43)</f>
        <v>0</v>
      </c>
      <c r="H43" s="683">
        <v>62</v>
      </c>
      <c r="I43" s="683">
        <v>21</v>
      </c>
      <c r="J43" s="687" t="s">
        <v>3968</v>
      </c>
      <c r="K43" s="595"/>
      <c r="L43" s="595"/>
      <c r="M43" s="595"/>
      <c r="N43" s="595"/>
      <c r="R43" s="910">
        <f>IF(Kulturen!H228=1,IF(Kulturen!$H$256&gt;Kulturen!$H$257,1,0),0)</f>
        <v>0</v>
      </c>
      <c r="S43" s="1556"/>
    </row>
    <row r="44" spans="3:19" x14ac:dyDescent="0.2">
      <c r="C44" s="149"/>
      <c r="D44" s="976">
        <v>22</v>
      </c>
      <c r="E44" s="989" t="str">
        <f t="shared" si="0"/>
        <v/>
      </c>
      <c r="F44" s="990">
        <f>COUNTIF($G$17:G44,1)</f>
        <v>2</v>
      </c>
      <c r="G44" s="984">
        <f>IF(AB_Eingabe!M21=1,0,R44)</f>
        <v>0</v>
      </c>
      <c r="H44" s="683">
        <v>28</v>
      </c>
      <c r="I44" s="683">
        <v>22</v>
      </c>
      <c r="J44" s="687" t="s">
        <v>3965</v>
      </c>
      <c r="K44" s="595"/>
      <c r="L44" s="595"/>
      <c r="M44" s="595"/>
      <c r="N44" s="595"/>
      <c r="R44" s="910">
        <f>IF(Kulturen!$H$342&gt;Kulturen!$H$343,1,0)</f>
        <v>0</v>
      </c>
      <c r="S44" s="1556"/>
    </row>
    <row r="45" spans="3:19" ht="37.5" customHeight="1" x14ac:dyDescent="0.2">
      <c r="C45" s="149"/>
      <c r="D45" s="976">
        <v>23</v>
      </c>
      <c r="E45" s="989" t="str">
        <f t="shared" si="0"/>
        <v/>
      </c>
      <c r="F45" s="990">
        <f>COUNTIF($G$17:G45,1)</f>
        <v>2</v>
      </c>
      <c r="G45" s="984">
        <f>IF(AB_Eingabe!M24=1,0,R45)</f>
        <v>0</v>
      </c>
      <c r="H45" s="683">
        <v>61</v>
      </c>
      <c r="I45" s="683">
        <v>23</v>
      </c>
      <c r="J45" s="2014" t="s">
        <v>4520</v>
      </c>
      <c r="K45" s="1972"/>
      <c r="L45" s="1972"/>
      <c r="M45" s="1972"/>
      <c r="N45" s="2015"/>
      <c r="O45" s="2012" t="s">
        <v>4521</v>
      </c>
      <c r="P45" s="2012"/>
      <c r="Q45" s="2012"/>
      <c r="R45" s="910">
        <f>IF(Kulturen!$H$342&gt;Kulturen!$H$343,1,0)</f>
        <v>0</v>
      </c>
      <c r="S45" s="1556"/>
    </row>
    <row r="46" spans="3:19" ht="33" customHeight="1" x14ac:dyDescent="0.2">
      <c r="C46" s="149"/>
      <c r="D46" s="976">
        <v>24</v>
      </c>
      <c r="E46" s="989" t="str">
        <f t="shared" si="0"/>
        <v/>
      </c>
      <c r="F46" s="990">
        <f>COUNTIF($G$17:G46,1)</f>
        <v>2</v>
      </c>
      <c r="G46" s="984">
        <f>IF(AB_Eingabe!M25=1,0,R46)</f>
        <v>0</v>
      </c>
      <c r="H46" s="683">
        <v>63</v>
      </c>
      <c r="I46" s="683">
        <v>24</v>
      </c>
      <c r="J46" s="2014" t="s">
        <v>4713</v>
      </c>
      <c r="K46" s="1972"/>
      <c r="L46" s="1972"/>
      <c r="M46" s="1972"/>
      <c r="N46" s="2015"/>
      <c r="O46" s="2012" t="s">
        <v>4522</v>
      </c>
      <c r="P46" s="2012"/>
      <c r="Q46" s="2012"/>
      <c r="R46" s="910">
        <f>IF(OR(Kulturen!H338&gt;=40,Kulturen!H341&gt;=40),1,0)</f>
        <v>0</v>
      </c>
      <c r="S46" s="1556"/>
    </row>
    <row r="47" spans="3:19" ht="27.75" customHeight="1" x14ac:dyDescent="0.2">
      <c r="C47" s="149"/>
      <c r="D47" s="976">
        <v>25</v>
      </c>
      <c r="E47" s="989" t="str">
        <f t="shared" si="0"/>
        <v/>
      </c>
      <c r="F47" s="990">
        <f>COUNTIF($G$17:G47,1)</f>
        <v>2</v>
      </c>
      <c r="G47" s="984">
        <f>IF(AB_Eingabe!M26=1,0,R47)</f>
        <v>0</v>
      </c>
      <c r="H47" s="683">
        <v>85</v>
      </c>
      <c r="I47" s="683">
        <v>25</v>
      </c>
      <c r="J47" s="2014" t="s">
        <v>4523</v>
      </c>
      <c r="K47" s="1972"/>
      <c r="L47" s="1972"/>
      <c r="M47" s="1972"/>
      <c r="N47" s="2015"/>
      <c r="O47" s="2012" t="s">
        <v>4524</v>
      </c>
      <c r="P47" s="2012"/>
      <c r="Q47" s="2012"/>
      <c r="R47" s="911">
        <f>IF(Kulturen!$H$231="Mais",IF(AND(AB_Eingabe!M72=1,AB_Eingabe!M68=2),1,0),0)</f>
        <v>0</v>
      </c>
      <c r="S47" s="1556"/>
    </row>
    <row r="48" spans="3:19" ht="27.75" customHeight="1" x14ac:dyDescent="0.2">
      <c r="C48" s="149"/>
      <c r="D48" s="976">
        <v>26</v>
      </c>
      <c r="E48" s="989">
        <f t="shared" ref="E48" si="3">IF(F48&gt;F47,F48,"")</f>
        <v>3</v>
      </c>
      <c r="F48" s="990">
        <f>COUNTIF($G$17:G48,1)</f>
        <v>3</v>
      </c>
      <c r="G48" s="984">
        <f>IF(AB_Eingabe!M27=1,0,R48)</f>
        <v>1</v>
      </c>
      <c r="H48" s="683">
        <v>25</v>
      </c>
      <c r="I48" s="683">
        <v>26</v>
      </c>
      <c r="J48" s="2014" t="s">
        <v>4730</v>
      </c>
      <c r="K48" s="1972"/>
      <c r="L48" s="1972"/>
      <c r="M48" s="1972"/>
      <c r="N48" s="2015"/>
      <c r="O48" s="1525"/>
      <c r="P48" s="1525"/>
      <c r="Q48" s="1525"/>
      <c r="R48" s="910">
        <f>IF(AND(AB_Eingabe!$M$68&gt;1,ISBLANK(AB_Eingabe!$H$72)),1,0)</f>
        <v>1</v>
      </c>
      <c r="S48" s="1556"/>
    </row>
    <row r="49" spans="1:19" ht="28.5" customHeight="1" x14ac:dyDescent="0.2">
      <c r="C49" s="149"/>
      <c r="D49" s="976">
        <v>27</v>
      </c>
      <c r="E49" s="989">
        <f>IF(F49&gt;F44,F49,"")</f>
        <v>3</v>
      </c>
      <c r="F49" s="990">
        <f>COUNTIF($G$17:G49,1)</f>
        <v>3</v>
      </c>
      <c r="G49" s="983">
        <f>IF(AB_Eingabe!M21=1,0,R49)</f>
        <v>0</v>
      </c>
      <c r="H49" s="683">
        <v>23</v>
      </c>
      <c r="I49" s="683">
        <v>27</v>
      </c>
      <c r="J49" s="2019" t="s">
        <v>4141</v>
      </c>
      <c r="K49" s="2020"/>
      <c r="L49" s="2020"/>
      <c r="M49" s="2020"/>
      <c r="N49" s="2021"/>
      <c r="O49" s="2012" t="s">
        <v>3964</v>
      </c>
      <c r="P49" s="2012"/>
      <c r="Q49" s="2012"/>
      <c r="R49" s="910">
        <f>IF(AND(Kulturen!H381=2,Kulturen!H231="Mais"),IF(AND(AB_Eingabe!J72="",AB_Eingabe!F72=""),1,0),0)</f>
        <v>0</v>
      </c>
      <c r="S49" s="1556"/>
    </row>
    <row r="50" spans="1:19" x14ac:dyDescent="0.2">
      <c r="C50" s="149"/>
      <c r="D50" s="976">
        <v>28</v>
      </c>
      <c r="E50" s="989" t="str">
        <f t="shared" si="0"/>
        <v/>
      </c>
      <c r="F50" s="990">
        <f>COUNTIF($G$17:G50,1)</f>
        <v>3</v>
      </c>
      <c r="G50" s="984">
        <f>IF(AB_Eingabe!M21=1,0,R50)</f>
        <v>0</v>
      </c>
      <c r="H50" s="683">
        <v>34</v>
      </c>
      <c r="I50" s="683">
        <v>28</v>
      </c>
      <c r="J50" s="687" t="s">
        <v>4477</v>
      </c>
      <c r="K50" s="595"/>
      <c r="L50" s="595"/>
      <c r="M50" s="595"/>
      <c r="N50" s="595"/>
      <c r="O50" s="658" t="s">
        <v>4478</v>
      </c>
      <c r="P50" s="658"/>
      <c r="Q50" s="658"/>
      <c r="R50" s="911">
        <f>IF(Kulturen!H408&gt;Kulturen!H409,1,0)</f>
        <v>0</v>
      </c>
      <c r="S50" s="1556"/>
    </row>
    <row r="51" spans="1:19" ht="27.2" customHeight="1" x14ac:dyDescent="0.2">
      <c r="C51" s="149"/>
      <c r="D51" s="976">
        <v>29</v>
      </c>
      <c r="E51" s="1005" t="str">
        <f t="shared" si="0"/>
        <v/>
      </c>
      <c r="F51" s="1006">
        <f>COUNTIF($G$17:G51,1)</f>
        <v>3</v>
      </c>
      <c r="G51" s="984">
        <f>IF(AB_Eingabe!M21=1,0,R51)</f>
        <v>0</v>
      </c>
      <c r="H51" s="1007">
        <v>83</v>
      </c>
      <c r="I51" s="683">
        <v>29</v>
      </c>
      <c r="J51" s="1008" t="s">
        <v>4725</v>
      </c>
      <c r="K51" s="1009"/>
      <c r="L51" s="1009"/>
      <c r="M51" s="1009"/>
      <c r="N51" s="1009"/>
      <c r="O51" s="2032" t="s">
        <v>4726</v>
      </c>
      <c r="P51" s="2033"/>
      <c r="Q51" s="2034"/>
      <c r="R51" s="1010">
        <f>IF(Kulturen!H244&gt;Kulturen!H243,1,0)</f>
        <v>0</v>
      </c>
      <c r="S51" s="1556"/>
    </row>
    <row r="52" spans="1:19" x14ac:dyDescent="0.2">
      <c r="C52" s="149"/>
      <c r="D52" s="1558">
        <v>30</v>
      </c>
      <c r="E52" s="1005">
        <f t="shared" si="0"/>
        <v>4</v>
      </c>
      <c r="F52" s="1006">
        <f>COUNTIF($G$17:G52,1)</f>
        <v>4</v>
      </c>
      <c r="G52" s="985">
        <v>1</v>
      </c>
      <c r="H52" s="912"/>
      <c r="I52" s="912"/>
      <c r="J52" s="917" t="s">
        <v>4417</v>
      </c>
      <c r="K52" s="917"/>
      <c r="L52" s="917"/>
      <c r="M52" s="917"/>
      <c r="N52" s="917"/>
      <c r="O52" s="1074"/>
      <c r="P52" s="1074"/>
      <c r="Q52" s="1074"/>
      <c r="R52" s="1055">
        <f>SUM(R23:R51)</f>
        <v>5</v>
      </c>
      <c r="S52" s="1056" t="s">
        <v>4567</v>
      </c>
    </row>
    <row r="53" spans="1:19" s="599" customFormat="1" ht="18.75" x14ac:dyDescent="0.2">
      <c r="C53" s="929"/>
      <c r="D53" s="978">
        <v>31</v>
      </c>
      <c r="E53" s="1564">
        <f t="shared" si="0"/>
        <v>5</v>
      </c>
      <c r="F53" s="1571">
        <f>COUNTIF($G$17:G53,1)</f>
        <v>5</v>
      </c>
      <c r="G53" s="986">
        <v>1</v>
      </c>
      <c r="H53" s="936"/>
      <c r="I53" s="936"/>
      <c r="J53" s="931" t="s">
        <v>4623</v>
      </c>
      <c r="K53" s="937"/>
      <c r="L53" s="937"/>
      <c r="M53" s="937"/>
      <c r="N53" s="937"/>
      <c r="O53" s="938"/>
      <c r="P53" s="938"/>
      <c r="Q53" s="938"/>
      <c r="R53" s="939"/>
      <c r="S53" s="934"/>
    </row>
    <row r="54" spans="1:19" x14ac:dyDescent="0.2">
      <c r="C54" s="149"/>
      <c r="D54" s="1568">
        <v>32</v>
      </c>
      <c r="E54" s="1569">
        <f t="shared" si="0"/>
        <v>6</v>
      </c>
      <c r="F54" s="1570">
        <f>COUNTIF($G$17:G54,1)</f>
        <v>6</v>
      </c>
      <c r="G54" s="983">
        <f>$R$54</f>
        <v>1</v>
      </c>
      <c r="H54" s="683">
        <v>21</v>
      </c>
      <c r="I54" s="686">
        <v>1</v>
      </c>
      <c r="J54" s="684" t="s">
        <v>4476</v>
      </c>
      <c r="K54" s="1073"/>
      <c r="L54" s="1073"/>
      <c r="M54" s="1073"/>
      <c r="N54" s="1073"/>
      <c r="O54" s="1072"/>
      <c r="P54" s="1072"/>
      <c r="Q54" s="1072"/>
      <c r="R54" s="910">
        <f>IF(AB_Eingabe!M21=1,1,0)</f>
        <v>1</v>
      </c>
      <c r="S54" s="1556"/>
    </row>
    <row r="55" spans="1:19" ht="49.7" customHeight="1" x14ac:dyDescent="0.2">
      <c r="C55" s="149"/>
      <c r="D55" s="976">
        <v>33</v>
      </c>
      <c r="E55" s="989" t="str">
        <f t="shared" si="0"/>
        <v/>
      </c>
      <c r="F55" s="990">
        <f>COUNTIF($G$17:G55,1)</f>
        <v>6</v>
      </c>
      <c r="G55" s="983">
        <f>IF(AB_Eingabe!M21=1,0,$R$55)</f>
        <v>0</v>
      </c>
      <c r="H55" s="683">
        <v>200</v>
      </c>
      <c r="I55" s="683">
        <v>2</v>
      </c>
      <c r="J55" s="687" t="s">
        <v>4195</v>
      </c>
      <c r="K55" s="595"/>
      <c r="L55" s="595"/>
      <c r="M55" s="595"/>
      <c r="N55" s="595"/>
      <c r="O55" s="2013" t="s">
        <v>4755</v>
      </c>
      <c r="P55" s="2013"/>
      <c r="Q55" s="2013"/>
      <c r="R55" s="910">
        <f>IF(Kulturen!$I$467&gt;1,1,0)</f>
        <v>1</v>
      </c>
      <c r="S55" s="1556"/>
    </row>
    <row r="56" spans="1:19" ht="29.25" customHeight="1" x14ac:dyDescent="0.2">
      <c r="C56" s="149"/>
      <c r="D56" s="976">
        <v>34</v>
      </c>
      <c r="E56" s="989" t="str">
        <f t="shared" si="0"/>
        <v/>
      </c>
      <c r="F56" s="990">
        <f>COUNTIF($G$17:G56,1)</f>
        <v>6</v>
      </c>
      <c r="G56" s="983">
        <f>IF(AB_Eingabe!M21=1,0,R56)</f>
        <v>0</v>
      </c>
      <c r="H56" s="683">
        <v>201</v>
      </c>
      <c r="I56" s="683">
        <v>3</v>
      </c>
      <c r="J56" s="687" t="s">
        <v>4190</v>
      </c>
      <c r="K56" s="595"/>
      <c r="L56" s="595"/>
      <c r="M56" s="595"/>
      <c r="N56" s="595"/>
      <c r="O56" s="2013" t="s">
        <v>4183</v>
      </c>
      <c r="P56" s="2013"/>
      <c r="Q56" s="2013"/>
      <c r="R56" s="910">
        <f>IF(Kulturen!$I$463=1,0,1)</f>
        <v>1</v>
      </c>
      <c r="S56" s="1556"/>
    </row>
    <row r="57" spans="1:19" ht="50.25" customHeight="1" x14ac:dyDescent="0.2">
      <c r="A57" s="595"/>
      <c r="B57" s="595"/>
      <c r="C57" s="876"/>
      <c r="D57" s="976">
        <v>35</v>
      </c>
      <c r="E57" s="989" t="str">
        <f t="shared" si="0"/>
        <v/>
      </c>
      <c r="F57" s="990">
        <f>COUNTIF($G$17:G57,1)</f>
        <v>6</v>
      </c>
      <c r="G57" s="983">
        <f>IF(AB_Eingabe!M21=1,0,$R$57)</f>
        <v>0</v>
      </c>
      <c r="H57" s="683">
        <v>202</v>
      </c>
      <c r="I57" s="683">
        <v>4</v>
      </c>
      <c r="J57" s="687" t="s">
        <v>4525</v>
      </c>
      <c r="K57" s="595"/>
      <c r="L57" s="595"/>
      <c r="M57" s="595"/>
      <c r="N57" s="595"/>
      <c r="O57" s="2013" t="s">
        <v>4756</v>
      </c>
      <c r="P57" s="2013"/>
      <c r="Q57" s="2013"/>
      <c r="R57" s="910">
        <f>IF(Kulturen!$I$467=1,1,0)</f>
        <v>0</v>
      </c>
      <c r="S57" s="1556"/>
    </row>
    <row r="58" spans="1:19" x14ac:dyDescent="0.2">
      <c r="A58" s="595"/>
      <c r="B58" s="595"/>
      <c r="C58" s="876"/>
      <c r="D58" s="976">
        <v>36</v>
      </c>
      <c r="E58" s="989" t="str">
        <f t="shared" si="0"/>
        <v/>
      </c>
      <c r="F58" s="990">
        <f>COUNTIF($G$17:G58,1)</f>
        <v>6</v>
      </c>
      <c r="G58" s="983">
        <f>IF(AB_Eingabe!M21=1,0,$R$58)</f>
        <v>0</v>
      </c>
      <c r="H58" s="683">
        <v>9</v>
      </c>
      <c r="I58" s="683">
        <v>5</v>
      </c>
      <c r="J58" s="687" t="s">
        <v>4285</v>
      </c>
      <c r="K58" s="595"/>
      <c r="L58" s="595"/>
      <c r="M58" s="595"/>
      <c r="N58" s="595"/>
      <c r="O58" s="1555"/>
      <c r="P58" s="1555"/>
      <c r="Q58" s="1555"/>
      <c r="R58" s="910">
        <f>IF(AND(AB_Eingabe!J31="",AB_Eingabe!J29=""),1,0)</f>
        <v>1</v>
      </c>
      <c r="S58" s="1556"/>
    </row>
    <row r="59" spans="1:19" ht="55.15" customHeight="1" x14ac:dyDescent="0.2">
      <c r="A59" s="595"/>
      <c r="B59" s="595"/>
      <c r="C59" s="876"/>
      <c r="D59" s="976">
        <v>37</v>
      </c>
      <c r="E59" s="989" t="str">
        <f t="shared" si="0"/>
        <v/>
      </c>
      <c r="F59" s="990">
        <f>COUNTIF($G$17:G59,1)</f>
        <v>6</v>
      </c>
      <c r="G59" s="983">
        <f>IF(AB_Eingabe!M21=1,0,$R$59)</f>
        <v>0</v>
      </c>
      <c r="H59" s="683">
        <v>203</v>
      </c>
      <c r="I59" s="683">
        <v>6</v>
      </c>
      <c r="J59" s="2014" t="s">
        <v>4777</v>
      </c>
      <c r="K59" s="1972"/>
      <c r="L59" s="1972"/>
      <c r="M59" s="1972"/>
      <c r="N59" s="2015"/>
      <c r="O59" s="2013" t="s">
        <v>4733</v>
      </c>
      <c r="P59" s="2013"/>
      <c r="Q59" s="2013"/>
      <c r="R59" s="910">
        <f>IF(AB_Eingabe!$H$42&gt;0,1,0)</f>
        <v>0</v>
      </c>
      <c r="S59" s="1556"/>
    </row>
    <row r="60" spans="1:19" ht="13.7" customHeight="1" x14ac:dyDescent="0.2">
      <c r="C60" s="149"/>
      <c r="D60" s="976">
        <v>38</v>
      </c>
      <c r="E60" s="989" t="str">
        <f t="shared" si="0"/>
        <v/>
      </c>
      <c r="F60" s="990">
        <f>COUNTIF($G$17:G60,1)</f>
        <v>6</v>
      </c>
      <c r="G60" s="983">
        <f>IF(AB_Eingabe!M21=1,0,$R$60)</f>
        <v>0</v>
      </c>
      <c r="H60" s="683">
        <v>204</v>
      </c>
      <c r="I60" s="683">
        <v>7</v>
      </c>
      <c r="J60" s="2014" t="s">
        <v>4187</v>
      </c>
      <c r="K60" s="1972"/>
      <c r="L60" s="1972"/>
      <c r="M60" s="1972"/>
      <c r="N60" s="2015"/>
      <c r="O60" s="2013" t="s">
        <v>3967</v>
      </c>
      <c r="P60" s="2013"/>
      <c r="Q60" s="2013"/>
      <c r="R60" s="910">
        <f>IF(Ertraege_Duengemengen!D33&lt;Ertraege_Duengemengen!D31,1,0)</f>
        <v>0</v>
      </c>
      <c r="S60" s="1556"/>
    </row>
    <row r="61" spans="1:19" s="481" customFormat="1" ht="39.4" customHeight="1" x14ac:dyDescent="0.2">
      <c r="C61" s="501"/>
      <c r="D61" s="976">
        <v>39</v>
      </c>
      <c r="E61" s="989" t="str">
        <f t="shared" si="0"/>
        <v/>
      </c>
      <c r="F61" s="990">
        <f>COUNTIF($G$17:G61,1)</f>
        <v>6</v>
      </c>
      <c r="G61" s="983">
        <f>IF(AB_Eingabe!M21=1,0,$R$61)</f>
        <v>0</v>
      </c>
      <c r="H61" s="683">
        <v>205</v>
      </c>
      <c r="I61" s="683">
        <v>8</v>
      </c>
      <c r="J61" s="2027" t="s">
        <v>4231</v>
      </c>
      <c r="K61" s="2028"/>
      <c r="L61" s="2028"/>
      <c r="M61" s="2028"/>
      <c r="N61" s="2029"/>
      <c r="O61" s="2013" t="s">
        <v>4432</v>
      </c>
      <c r="P61" s="2013"/>
      <c r="Q61" s="2013"/>
      <c r="R61" s="910">
        <f>IF(Kulturen!$H$423&lt;0,1,0)</f>
        <v>0</v>
      </c>
      <c r="S61" s="1556"/>
    </row>
    <row r="62" spans="1:19" ht="46.9" customHeight="1" x14ac:dyDescent="0.2">
      <c r="C62" s="149"/>
      <c r="D62" s="976">
        <v>40</v>
      </c>
      <c r="E62" s="989" t="str">
        <f t="shared" si="0"/>
        <v/>
      </c>
      <c r="F62" s="990">
        <f>COUNTIF($G$17:G62,1)</f>
        <v>6</v>
      </c>
      <c r="G62" s="983">
        <f>IF(AB_Eingabe!M21=1,0,$R$62)</f>
        <v>0</v>
      </c>
      <c r="H62" s="683">
        <v>206</v>
      </c>
      <c r="I62" s="683">
        <v>9</v>
      </c>
      <c r="J62" s="687" t="s">
        <v>4201</v>
      </c>
      <c r="K62" s="595"/>
      <c r="L62" s="595"/>
      <c r="M62" s="595"/>
      <c r="N62" s="595"/>
      <c r="O62" s="2013" t="s">
        <v>4755</v>
      </c>
      <c r="P62" s="2013"/>
      <c r="Q62" s="2013"/>
      <c r="R62" s="910">
        <f>IF(Kulturen!J467&gt;1,1,0)</f>
        <v>1</v>
      </c>
      <c r="S62" s="1556"/>
    </row>
    <row r="63" spans="1:19" ht="28.15" customHeight="1" x14ac:dyDescent="0.2">
      <c r="C63" s="149"/>
      <c r="D63" s="976">
        <v>41</v>
      </c>
      <c r="E63" s="989" t="str">
        <f t="shared" si="0"/>
        <v/>
      </c>
      <c r="F63" s="990">
        <f>COUNTIF($G$17:G63,1)</f>
        <v>6</v>
      </c>
      <c r="G63" s="983">
        <f>IF(AB_Eingabe!M21=1,0,$R$63)</f>
        <v>0</v>
      </c>
      <c r="H63" s="683">
        <v>207</v>
      </c>
      <c r="I63" s="683">
        <v>10</v>
      </c>
      <c r="J63" s="687" t="s">
        <v>4191</v>
      </c>
      <c r="K63" s="595"/>
      <c r="L63" s="595"/>
      <c r="M63" s="595"/>
      <c r="N63" s="595"/>
      <c r="O63" s="2013" t="s">
        <v>4183</v>
      </c>
      <c r="P63" s="2013"/>
      <c r="Q63" s="2013"/>
      <c r="R63" s="910">
        <f>IF(Kulturen!J464=1,0,1)</f>
        <v>1</v>
      </c>
      <c r="S63" s="1556"/>
    </row>
    <row r="64" spans="1:19" ht="36.75" customHeight="1" x14ac:dyDescent="0.2">
      <c r="C64" s="149"/>
      <c r="D64" s="976">
        <v>42</v>
      </c>
      <c r="E64" s="989" t="str">
        <f t="shared" si="0"/>
        <v/>
      </c>
      <c r="F64" s="990">
        <f>COUNTIF($G$17:G64,1)</f>
        <v>6</v>
      </c>
      <c r="G64" s="983">
        <f>IF(AB_Eingabe!M21=1,0,$R$64)</f>
        <v>0</v>
      </c>
      <c r="H64" s="683">
        <v>208</v>
      </c>
      <c r="I64" s="683">
        <v>11</v>
      </c>
      <c r="J64" s="2027" t="s">
        <v>4232</v>
      </c>
      <c r="K64" s="2028"/>
      <c r="L64" s="2028"/>
      <c r="M64" s="2028"/>
      <c r="N64" s="2029"/>
      <c r="O64" s="2013" t="s">
        <v>4432</v>
      </c>
      <c r="P64" s="2013"/>
      <c r="Q64" s="2013"/>
      <c r="R64" s="910">
        <f>IF(Kulturen!$H$434&lt;0,1,0)</f>
        <v>0</v>
      </c>
      <c r="S64" s="1556"/>
    </row>
    <row r="65" spans="3:19" ht="48.2" customHeight="1" x14ac:dyDescent="0.2">
      <c r="C65" s="149"/>
      <c r="D65" s="976">
        <v>43</v>
      </c>
      <c r="E65" s="989" t="str">
        <f t="shared" si="0"/>
        <v/>
      </c>
      <c r="F65" s="990">
        <f>COUNTIF($G$17:G65,1)</f>
        <v>6</v>
      </c>
      <c r="G65" s="983">
        <f>IF(AB_Eingabe!M21=1,0,$R$65)</f>
        <v>0</v>
      </c>
      <c r="H65" s="683">
        <v>209</v>
      </c>
      <c r="I65" s="683">
        <v>12</v>
      </c>
      <c r="J65" s="687" t="s">
        <v>4202</v>
      </c>
      <c r="K65" s="595"/>
      <c r="L65" s="595"/>
      <c r="M65" s="595"/>
      <c r="N65" s="595"/>
      <c r="O65" s="2013" t="s">
        <v>4755</v>
      </c>
      <c r="P65" s="2013"/>
      <c r="Q65" s="2013"/>
      <c r="R65" s="910">
        <f>IF(Kulturen!$K$467&gt;1,1,0)</f>
        <v>1</v>
      </c>
      <c r="S65" s="1556"/>
    </row>
    <row r="66" spans="3:19" ht="28.5" customHeight="1" x14ac:dyDescent="0.2">
      <c r="C66" s="149"/>
      <c r="D66" s="976">
        <v>44</v>
      </c>
      <c r="E66" s="989" t="str">
        <f t="shared" si="0"/>
        <v/>
      </c>
      <c r="F66" s="990">
        <f>COUNTIF($G$17:G66,1)</f>
        <v>6</v>
      </c>
      <c r="G66" s="983">
        <f>IF(AB_Eingabe!M21=1,0,$R$66)</f>
        <v>0</v>
      </c>
      <c r="H66" s="683">
        <v>210</v>
      </c>
      <c r="I66" s="683">
        <v>13</v>
      </c>
      <c r="J66" s="687" t="s">
        <v>4192</v>
      </c>
      <c r="K66" s="595"/>
      <c r="L66" s="595"/>
      <c r="M66" s="595"/>
      <c r="N66" s="595"/>
      <c r="O66" s="2013" t="s">
        <v>4183</v>
      </c>
      <c r="P66" s="2013"/>
      <c r="Q66" s="2013"/>
      <c r="R66" s="910">
        <f>IF(Kulturen!$K$465=1,0,1)</f>
        <v>1</v>
      </c>
      <c r="S66" s="1556"/>
    </row>
    <row r="67" spans="3:19" ht="38.1" customHeight="1" x14ac:dyDescent="0.2">
      <c r="C67" s="149"/>
      <c r="D67" s="976">
        <v>45</v>
      </c>
      <c r="E67" s="989" t="str">
        <f t="shared" si="0"/>
        <v/>
      </c>
      <c r="F67" s="990">
        <f>COUNTIF($G$17:G67,1)</f>
        <v>6</v>
      </c>
      <c r="G67" s="983">
        <f>IF(AB_Eingabe!M21=1,0,$R$67)</f>
        <v>0</v>
      </c>
      <c r="H67" s="683">
        <v>211</v>
      </c>
      <c r="I67" s="683">
        <v>14</v>
      </c>
      <c r="J67" s="2027" t="s">
        <v>4233</v>
      </c>
      <c r="K67" s="2028"/>
      <c r="L67" s="2028"/>
      <c r="M67" s="2028"/>
      <c r="N67" s="2029"/>
      <c r="O67" s="2013" t="s">
        <v>4432</v>
      </c>
      <c r="P67" s="2013"/>
      <c r="Q67" s="2013"/>
      <c r="R67" s="910">
        <f>IF(Kulturen!$H$445&lt;0,1,0)</f>
        <v>0</v>
      </c>
      <c r="S67" s="1556"/>
    </row>
    <row r="68" spans="3:19" x14ac:dyDescent="0.2">
      <c r="C68" s="149"/>
      <c r="D68" s="1558">
        <v>46</v>
      </c>
      <c r="E68" s="991">
        <f t="shared" si="0"/>
        <v>7</v>
      </c>
      <c r="F68" s="992">
        <f>COUNTIF($G$17:G68,1)</f>
        <v>7</v>
      </c>
      <c r="G68" s="985">
        <v>1</v>
      </c>
      <c r="H68" s="912"/>
      <c r="I68" s="912"/>
      <c r="J68" s="913" t="s">
        <v>4417</v>
      </c>
      <c r="K68" s="914"/>
      <c r="L68" s="914"/>
      <c r="M68" s="914"/>
      <c r="N68" s="914"/>
      <c r="O68" s="915"/>
      <c r="P68" s="915"/>
      <c r="Q68" s="915"/>
      <c r="R68" s="916"/>
      <c r="S68" s="907"/>
    </row>
    <row r="69" spans="3:19" s="599" customFormat="1" x14ac:dyDescent="0.2">
      <c r="C69" s="929"/>
      <c r="D69" s="1559">
        <v>47</v>
      </c>
      <c r="E69" s="997">
        <f t="shared" si="0"/>
        <v>8</v>
      </c>
      <c r="F69" s="998">
        <f>COUNTIF($G$17:G69,1)</f>
        <v>8</v>
      </c>
      <c r="G69" s="986">
        <v>1</v>
      </c>
      <c r="H69" s="936"/>
      <c r="I69" s="936"/>
      <c r="J69" s="931" t="s">
        <v>4428</v>
      </c>
      <c r="K69" s="933"/>
      <c r="L69" s="933"/>
      <c r="M69" s="933"/>
      <c r="N69" s="933"/>
      <c r="O69" s="930"/>
      <c r="P69" s="930"/>
      <c r="Q69" s="930"/>
      <c r="R69" s="939"/>
      <c r="S69" s="934"/>
    </row>
    <row r="70" spans="3:19" x14ac:dyDescent="0.2">
      <c r="C70" s="149"/>
      <c r="D70" s="976">
        <v>48</v>
      </c>
      <c r="E70" s="989" t="str">
        <f t="shared" si="0"/>
        <v/>
      </c>
      <c r="F70" s="990">
        <f>COUNTIF($G$17:G70,1)</f>
        <v>8</v>
      </c>
      <c r="G70" s="983">
        <v>0</v>
      </c>
      <c r="H70" s="683"/>
      <c r="I70" s="683"/>
      <c r="R70" s="910"/>
      <c r="S70" s="907"/>
    </row>
    <row r="71" spans="3:19" ht="24.4" customHeight="1" x14ac:dyDescent="0.2">
      <c r="C71" s="149"/>
      <c r="D71" s="976">
        <v>49</v>
      </c>
      <c r="E71" s="989" t="str">
        <f t="shared" si="0"/>
        <v/>
      </c>
      <c r="F71" s="990">
        <f>COUNTIF($G$17:G71,1)</f>
        <v>8</v>
      </c>
      <c r="G71" s="983">
        <f>IF(AB_Eingabe!M21=1,0,R71)</f>
        <v>0</v>
      </c>
      <c r="H71" s="683">
        <v>212</v>
      </c>
      <c r="I71" s="683">
        <v>1</v>
      </c>
      <c r="J71" s="2018" t="s">
        <v>4185</v>
      </c>
      <c r="K71" s="2018"/>
      <c r="L71" s="2018"/>
      <c r="M71" s="2018"/>
      <c r="N71" s="2018"/>
      <c r="O71" s="2012" t="s">
        <v>4186</v>
      </c>
      <c r="P71" s="2012"/>
      <c r="Q71" s="2012"/>
      <c r="R71" s="910">
        <f>IF(AB_Eingabe!$E$42=0,1,0)</f>
        <v>1</v>
      </c>
      <c r="S71" s="971"/>
    </row>
    <row r="72" spans="3:19" x14ac:dyDescent="0.2">
      <c r="C72" s="149"/>
      <c r="D72" s="973"/>
      <c r="E72" s="826"/>
      <c r="F72" s="988"/>
      <c r="G72" s="985"/>
      <c r="H72" s="912"/>
      <c r="I72" s="912"/>
      <c r="J72" s="913"/>
      <c r="K72" s="914"/>
      <c r="L72" s="914"/>
      <c r="M72" s="914"/>
      <c r="N72" s="914"/>
      <c r="O72" s="915"/>
      <c r="P72" s="915"/>
      <c r="Q72" s="915"/>
      <c r="R72" s="1055">
        <f>SUM(R54:R71)</f>
        <v>9</v>
      </c>
      <c r="S72" s="1056" t="s">
        <v>4567</v>
      </c>
    </row>
    <row r="73" spans="3:19" s="599" customFormat="1" x14ac:dyDescent="0.2">
      <c r="C73" s="940"/>
      <c r="D73" s="978"/>
      <c r="E73" s="997">
        <f>IF(F73&gt;F72,F73,"")</f>
        <v>1</v>
      </c>
      <c r="F73" s="999">
        <f>COUNTIF($G$73:G73,1)</f>
        <v>1</v>
      </c>
      <c r="G73" s="986">
        <v>1</v>
      </c>
      <c r="H73" s="932"/>
      <c r="I73" s="932"/>
      <c r="J73" s="931" t="s">
        <v>4429</v>
      </c>
      <c r="K73" s="933"/>
      <c r="L73" s="933"/>
      <c r="M73" s="933"/>
      <c r="N73" s="933"/>
      <c r="O73" s="930"/>
      <c r="P73" s="930"/>
      <c r="Q73" s="930"/>
      <c r="R73" s="939"/>
      <c r="S73" s="934"/>
    </row>
    <row r="74" spans="3:19" x14ac:dyDescent="0.2">
      <c r="C74" s="922"/>
      <c r="D74" s="975"/>
      <c r="E74" s="989" t="str">
        <f t="shared" ref="E74:E107" si="4">IF(F74&gt;F73,F74,"")</f>
        <v/>
      </c>
      <c r="F74" s="993">
        <f>COUNTIF($G$73:G74,1)</f>
        <v>1</v>
      </c>
      <c r="G74" s="983"/>
      <c r="H74" s="683"/>
      <c r="I74" s="683"/>
      <c r="J74" s="575" t="s">
        <v>4417</v>
      </c>
      <c r="R74" s="925"/>
      <c r="S74" s="923"/>
    </row>
    <row r="75" spans="3:19" x14ac:dyDescent="0.2">
      <c r="C75" s="922"/>
      <c r="D75" s="976">
        <v>1</v>
      </c>
      <c r="E75" s="989">
        <f t="shared" si="4"/>
        <v>2</v>
      </c>
      <c r="F75" s="993">
        <f>COUNTIF($G$73:G75,1)</f>
        <v>2</v>
      </c>
      <c r="G75" s="983">
        <f>IF(GL_Eingabe!M21=1,1,$R$75)</f>
        <v>1</v>
      </c>
      <c r="H75" s="683">
        <v>21</v>
      </c>
      <c r="I75" s="683">
        <v>1</v>
      </c>
      <c r="J75" s="1436" t="s">
        <v>4476</v>
      </c>
      <c r="R75" s="910">
        <f>IF(GL_Eingabe!$M$21=1,1,0)</f>
        <v>1</v>
      </c>
      <c r="S75" s="969"/>
    </row>
    <row r="76" spans="3:19" ht="35.450000000000003" customHeight="1" x14ac:dyDescent="0.2">
      <c r="C76" s="922"/>
      <c r="D76" s="976">
        <v>2</v>
      </c>
      <c r="E76" s="989" t="str">
        <f t="shared" si="4"/>
        <v/>
      </c>
      <c r="F76" s="993">
        <f>COUNTIF($G$73:G76,1)</f>
        <v>2</v>
      </c>
      <c r="G76" s="983">
        <f>IF(GL_Eingabe!M21=1,0,$R$76)</f>
        <v>0</v>
      </c>
      <c r="H76" s="683">
        <v>69</v>
      </c>
      <c r="I76" s="683">
        <v>2</v>
      </c>
      <c r="J76" s="575" t="s">
        <v>3969</v>
      </c>
      <c r="O76" s="2012" t="s">
        <v>4398</v>
      </c>
      <c r="P76" s="2012"/>
      <c r="Q76" s="2012"/>
      <c r="R76" s="910">
        <f>IF(Kulturen!$I$179&gt;1,1,0)</f>
        <v>1</v>
      </c>
      <c r="S76" s="969"/>
    </row>
    <row r="77" spans="3:19" ht="33.4" customHeight="1" x14ac:dyDescent="0.2">
      <c r="C77" s="922"/>
      <c r="D77" s="976">
        <v>3</v>
      </c>
      <c r="E77" s="989" t="str">
        <f t="shared" si="4"/>
        <v/>
      </c>
      <c r="F77" s="993">
        <f>COUNTIF($G$73:G77,1)</f>
        <v>2</v>
      </c>
      <c r="G77" s="983">
        <f>IF(GL_Eingabe!M21=1,0,$R$77)</f>
        <v>0</v>
      </c>
      <c r="H77" s="683">
        <v>70</v>
      </c>
      <c r="I77" s="683">
        <v>3</v>
      </c>
      <c r="J77" s="2018" t="s">
        <v>3970</v>
      </c>
      <c r="K77" s="2018"/>
      <c r="L77" s="2018"/>
      <c r="M77" s="2018"/>
      <c r="N77" s="2018"/>
      <c r="O77" s="2012" t="s">
        <v>4399</v>
      </c>
      <c r="P77" s="2012"/>
      <c r="Q77" s="2012"/>
      <c r="R77" s="910">
        <f>IF(Kulturen!$I$179=1,1,0)</f>
        <v>0</v>
      </c>
      <c r="S77" s="969"/>
    </row>
    <row r="78" spans="3:19" ht="57.75" customHeight="1" x14ac:dyDescent="0.2">
      <c r="C78" s="922"/>
      <c r="D78" s="976">
        <v>4</v>
      </c>
      <c r="E78" s="989" t="str">
        <f t="shared" si="4"/>
        <v/>
      </c>
      <c r="F78" s="993">
        <f>COUNTIF($G$73:G78,1)</f>
        <v>2</v>
      </c>
      <c r="G78" s="983">
        <f>IF(GL_Eingabe!M21=1,0,$R$78)</f>
        <v>0</v>
      </c>
      <c r="H78" s="683">
        <v>76</v>
      </c>
      <c r="I78" s="683">
        <v>4</v>
      </c>
      <c r="J78" s="2018" t="s">
        <v>3974</v>
      </c>
      <c r="K78" s="2018"/>
      <c r="L78" s="2018"/>
      <c r="M78" s="2018"/>
      <c r="N78" s="2018"/>
      <c r="O78" s="2012" t="s">
        <v>3975</v>
      </c>
      <c r="P78" s="2012"/>
      <c r="Q78" s="2012"/>
      <c r="R78" s="910">
        <v>0</v>
      </c>
      <c r="S78" s="969"/>
    </row>
    <row r="79" spans="3:19" x14ac:dyDescent="0.2">
      <c r="C79" s="922"/>
      <c r="D79" s="976">
        <v>5</v>
      </c>
      <c r="E79" s="989" t="str">
        <f t="shared" si="4"/>
        <v/>
      </c>
      <c r="F79" s="993">
        <f>COUNTIF($G$73:G79,1)</f>
        <v>2</v>
      </c>
      <c r="G79" s="983">
        <f>IF(GL_Eingabe!M21=1,0,R79)</f>
        <v>0</v>
      </c>
      <c r="H79" s="683"/>
      <c r="I79" s="683">
        <v>5</v>
      </c>
      <c r="J79" s="2018"/>
      <c r="K79" s="2018"/>
      <c r="L79" s="2018"/>
      <c r="M79" s="2018"/>
      <c r="N79" s="2018"/>
      <c r="O79" s="2012"/>
      <c r="P79" s="2012"/>
      <c r="Q79" s="2012"/>
      <c r="R79" s="910">
        <v>0</v>
      </c>
      <c r="S79" s="969"/>
    </row>
    <row r="80" spans="3:19" x14ac:dyDescent="0.2">
      <c r="C80" s="922"/>
      <c r="D80" s="976">
        <v>6</v>
      </c>
      <c r="E80" s="989" t="str">
        <f t="shared" si="4"/>
        <v/>
      </c>
      <c r="F80" s="993">
        <f>COUNTIF($G$73:G80,1)</f>
        <v>2</v>
      </c>
      <c r="G80" s="983">
        <f>IF(GL_Eingabe!M21=1,0,R80)</f>
        <v>0</v>
      </c>
      <c r="H80" s="683">
        <v>18</v>
      </c>
      <c r="I80" s="683">
        <v>6</v>
      </c>
      <c r="J80" s="575" t="s">
        <v>3962</v>
      </c>
      <c r="R80" s="910">
        <f>IF(AND(GL_Eingabe!$M$48&gt;5,GL_Eingabe!$M$43&gt;4),1,0)</f>
        <v>0</v>
      </c>
      <c r="S80" s="969"/>
    </row>
    <row r="81" spans="3:19" x14ac:dyDescent="0.2">
      <c r="C81" s="922"/>
      <c r="D81" s="976">
        <v>7</v>
      </c>
      <c r="E81" s="989" t="str">
        <f t="shared" si="4"/>
        <v/>
      </c>
      <c r="F81" s="993">
        <f>COUNTIF($G$73:G81,1)</f>
        <v>2</v>
      </c>
      <c r="G81" s="983">
        <f>IF(GL_Eingabe!M21=1,0,R81)</f>
        <v>0</v>
      </c>
      <c r="H81" s="683">
        <v>24</v>
      </c>
      <c r="I81" s="683">
        <v>7</v>
      </c>
      <c r="J81" s="575" t="s">
        <v>4443</v>
      </c>
      <c r="R81" s="910">
        <f>IF(AND(ISBLANK(GL_Eingabe!$H$52),NOT(GL_Eingabe!$M$52=1)),1,0)</f>
        <v>0</v>
      </c>
      <c r="S81" s="1556"/>
    </row>
    <row r="82" spans="3:19" x14ac:dyDescent="0.2">
      <c r="C82" s="922"/>
      <c r="D82" s="976">
        <v>8</v>
      </c>
      <c r="E82" s="989" t="str">
        <f t="shared" si="4"/>
        <v/>
      </c>
      <c r="F82" s="993">
        <f>COUNTIF($G$73:G82,1)</f>
        <v>2</v>
      </c>
      <c r="G82" s="983">
        <f>IF(GL_Eingabe!M21=1,0,R82)</f>
        <v>0</v>
      </c>
      <c r="H82" s="683">
        <v>24</v>
      </c>
      <c r="I82" s="683">
        <v>8</v>
      </c>
      <c r="J82" s="575" t="s">
        <v>4444</v>
      </c>
      <c r="R82" s="910">
        <f>IF(AND(ISBLANK(GL_Eingabe!$H$54),NOT(GL_Eingabe!$M$54=1)),1,0)</f>
        <v>0</v>
      </c>
      <c r="S82" s="1556"/>
    </row>
    <row r="83" spans="3:19" x14ac:dyDescent="0.2">
      <c r="C83" s="922"/>
      <c r="D83" s="976">
        <v>9</v>
      </c>
      <c r="E83" s="989" t="str">
        <f t="shared" si="4"/>
        <v/>
      </c>
      <c r="F83" s="993">
        <f>COUNTIF($G$73:G83,1)</f>
        <v>2</v>
      </c>
      <c r="G83" s="983">
        <f>IF(GL_Eingabe!M21=1,0,R83)</f>
        <v>0</v>
      </c>
      <c r="H83" s="683">
        <v>25</v>
      </c>
      <c r="I83" s="683">
        <v>9</v>
      </c>
      <c r="J83" s="575" t="s">
        <v>4441</v>
      </c>
      <c r="R83" s="910">
        <f>IF(AND(GL_Eingabe!$M$52&gt;1,ISBLANK(GL_Eingabe!$J$52)),1,0)</f>
        <v>0</v>
      </c>
      <c r="S83" s="969"/>
    </row>
    <row r="84" spans="3:19" x14ac:dyDescent="0.2">
      <c r="C84" s="922"/>
      <c r="D84" s="976">
        <v>10</v>
      </c>
      <c r="E84" s="989" t="str">
        <f t="shared" si="4"/>
        <v/>
      </c>
      <c r="F84" s="993">
        <f>COUNTIF($G$73:G84,1)</f>
        <v>2</v>
      </c>
      <c r="G84" s="983">
        <f>IF(GL_Eingabe!M21=1,0,R84)</f>
        <v>0</v>
      </c>
      <c r="H84" s="683">
        <v>25</v>
      </c>
      <c r="I84" s="683">
        <v>10</v>
      </c>
      <c r="J84" s="575" t="s">
        <v>4442</v>
      </c>
      <c r="R84" s="910">
        <f>IF(AND(GL_Eingabe!$M$54&gt;1,ISBLANK(GL_Eingabe!$J$54)),1,0)</f>
        <v>0</v>
      </c>
      <c r="S84" s="969"/>
    </row>
    <row r="85" spans="3:19" x14ac:dyDescent="0.2">
      <c r="C85" s="922"/>
      <c r="D85" s="976">
        <v>11</v>
      </c>
      <c r="E85" s="989" t="str">
        <f t="shared" si="4"/>
        <v/>
      </c>
      <c r="F85" s="993">
        <f>COUNTIF($G$73:G85,1)</f>
        <v>2</v>
      </c>
      <c r="G85" s="983">
        <f>IF(GL_Eingabe!M21=1,0,R85)</f>
        <v>0</v>
      </c>
      <c r="H85" s="683">
        <v>8</v>
      </c>
      <c r="I85" s="683">
        <v>11</v>
      </c>
      <c r="J85" s="481" t="s">
        <v>4290</v>
      </c>
      <c r="R85" s="910">
        <f>IF(Kulturen!H168&lt;0,1,0)</f>
        <v>0</v>
      </c>
      <c r="S85" s="1556"/>
    </row>
    <row r="86" spans="3:19" x14ac:dyDescent="0.2">
      <c r="C86" s="922"/>
      <c r="D86" s="1001">
        <v>12</v>
      </c>
      <c r="E86" s="989" t="str">
        <f t="shared" si="4"/>
        <v/>
      </c>
      <c r="F86" s="993">
        <f>COUNTIF($G$73:G86,1)</f>
        <v>2</v>
      </c>
      <c r="G86" s="984">
        <f>IF(GL_Eingabe!M21=1,0,R86)</f>
        <v>0</v>
      </c>
      <c r="H86" s="683">
        <v>9</v>
      </c>
      <c r="I86" s="683">
        <v>12</v>
      </c>
      <c r="J86" s="687" t="s">
        <v>4285</v>
      </c>
      <c r="K86" s="595"/>
      <c r="L86" s="595"/>
      <c r="M86" s="595"/>
      <c r="N86" s="595"/>
      <c r="O86" s="658"/>
      <c r="P86" s="658"/>
      <c r="Q86" s="658"/>
      <c r="R86" s="911">
        <f>IF(AND(GL_Eingabe!J29="",GL_Eingabe!J31=0),1,0)</f>
        <v>1</v>
      </c>
      <c r="S86" s="1556"/>
    </row>
    <row r="87" spans="3:19" x14ac:dyDescent="0.2">
      <c r="C87" s="922"/>
      <c r="D87" s="1001">
        <v>13</v>
      </c>
      <c r="E87" s="989" t="str">
        <f t="shared" si="4"/>
        <v/>
      </c>
      <c r="F87" s="993">
        <f>COUNTIF($G$73:G87,1)</f>
        <v>2</v>
      </c>
      <c r="G87" s="984">
        <f>IF(GL_Eingabe!M21=1,0,R87)</f>
        <v>0</v>
      </c>
      <c r="H87" s="683">
        <v>84</v>
      </c>
      <c r="I87" s="683">
        <v>13</v>
      </c>
      <c r="J87" s="687" t="s">
        <v>4497</v>
      </c>
      <c r="K87" s="595"/>
      <c r="L87" s="595"/>
      <c r="M87" s="595"/>
      <c r="N87" s="595"/>
      <c r="O87" s="658"/>
      <c r="P87" s="658"/>
      <c r="Q87" s="658"/>
      <c r="R87" s="911">
        <f>IF(GL_Eingabe!M43=1,1,0)</f>
        <v>1</v>
      </c>
      <c r="S87" s="1556"/>
    </row>
    <row r="88" spans="3:19" x14ac:dyDescent="0.2">
      <c r="C88" s="922"/>
      <c r="D88" s="1001"/>
      <c r="E88" s="989"/>
      <c r="F88" s="993"/>
      <c r="G88" s="984"/>
      <c r="H88" s="683"/>
      <c r="I88" s="683"/>
      <c r="J88" s="687"/>
      <c r="K88" s="595"/>
      <c r="L88" s="595"/>
      <c r="M88" s="595"/>
      <c r="N88" s="595"/>
      <c r="O88" s="658"/>
      <c r="P88" s="658"/>
      <c r="Q88" s="658"/>
      <c r="R88" s="911"/>
      <c r="S88" s="1556"/>
    </row>
    <row r="89" spans="3:19" x14ac:dyDescent="0.2">
      <c r="C89" s="922"/>
      <c r="D89" s="977">
        <v>15</v>
      </c>
      <c r="E89" s="991">
        <f t="shared" si="4"/>
        <v>3</v>
      </c>
      <c r="F89" s="988">
        <f>COUNTIF($G$73:G89,1)</f>
        <v>3</v>
      </c>
      <c r="G89" s="985">
        <v>1</v>
      </c>
      <c r="H89" s="912"/>
      <c r="I89" s="912"/>
      <c r="J89" s="914" t="s">
        <v>4417</v>
      </c>
      <c r="K89" s="914"/>
      <c r="L89" s="914"/>
      <c r="M89" s="914"/>
      <c r="N89" s="914"/>
      <c r="O89" s="915"/>
      <c r="P89" s="915"/>
      <c r="Q89" s="915"/>
      <c r="R89" s="1055">
        <f>SUM(R74:R88)</f>
        <v>4</v>
      </c>
      <c r="S89" s="1056" t="s">
        <v>4567</v>
      </c>
    </row>
    <row r="90" spans="3:19" s="935" customFormat="1" ht="18.75" x14ac:dyDescent="0.2">
      <c r="C90" s="940"/>
      <c r="D90" s="978">
        <v>16</v>
      </c>
      <c r="E90" s="997">
        <f t="shared" si="4"/>
        <v>4</v>
      </c>
      <c r="F90" s="999">
        <f>COUNTIF($G$73:G90,1)</f>
        <v>4</v>
      </c>
      <c r="G90" s="986">
        <v>1</v>
      </c>
      <c r="H90" s="936"/>
      <c r="I90" s="936"/>
      <c r="J90" s="931" t="s">
        <v>4624</v>
      </c>
      <c r="K90" s="931"/>
      <c r="L90" s="931"/>
      <c r="M90" s="931"/>
      <c r="N90" s="931"/>
      <c r="O90" s="930"/>
      <c r="P90" s="930"/>
      <c r="Q90" s="930"/>
      <c r="R90" s="939"/>
      <c r="S90" s="934"/>
    </row>
    <row r="91" spans="3:19" x14ac:dyDescent="0.2">
      <c r="C91" s="922"/>
      <c r="D91" s="976">
        <v>17</v>
      </c>
      <c r="E91" s="989" t="str">
        <f t="shared" si="4"/>
        <v/>
      </c>
      <c r="F91" s="993">
        <f>COUNTIF($G$73:G91,1)</f>
        <v>4</v>
      </c>
      <c r="G91" s="983"/>
      <c r="H91" s="683"/>
      <c r="I91" s="683"/>
      <c r="J91" s="575" t="s">
        <v>4417</v>
      </c>
      <c r="R91" s="910"/>
      <c r="S91" s="923"/>
    </row>
    <row r="92" spans="3:19" x14ac:dyDescent="0.2">
      <c r="C92" s="926"/>
      <c r="D92" s="976">
        <v>18</v>
      </c>
      <c r="E92" s="989">
        <f t="shared" si="4"/>
        <v>5</v>
      </c>
      <c r="F92" s="993">
        <f>COUNTIF($G$73:G92,1)</f>
        <v>5</v>
      </c>
      <c r="G92" s="983">
        <f>R92</f>
        <v>1</v>
      </c>
      <c r="H92" s="683">
        <v>21</v>
      </c>
      <c r="I92" s="683">
        <v>1</v>
      </c>
      <c r="J92" s="2022" t="s">
        <v>4476</v>
      </c>
      <c r="K92" s="2022"/>
      <c r="L92" s="2022"/>
      <c r="M92" s="2022"/>
      <c r="N92" s="2022"/>
      <c r="O92" s="2012"/>
      <c r="P92" s="2012"/>
      <c r="Q92" s="2012"/>
      <c r="R92" s="910">
        <f>IF(GL_Eingabe!M21=1,1,0)</f>
        <v>1</v>
      </c>
      <c r="S92" s="1556"/>
    </row>
    <row r="93" spans="3:19" ht="36.75" customHeight="1" x14ac:dyDescent="0.2">
      <c r="C93" s="926"/>
      <c r="D93" s="976">
        <v>19</v>
      </c>
      <c r="E93" s="989" t="str">
        <f t="shared" si="4"/>
        <v/>
      </c>
      <c r="F93" s="993">
        <f>COUNTIF($G$73:G93,1)</f>
        <v>5</v>
      </c>
      <c r="G93" s="983">
        <f>IF(GL_Eingabe!M21=1,0,$R$93)</f>
        <v>0</v>
      </c>
      <c r="H93" s="683">
        <v>200</v>
      </c>
      <c r="I93" s="683">
        <v>2</v>
      </c>
      <c r="J93" s="481" t="s">
        <v>4625</v>
      </c>
      <c r="O93" s="2012" t="s">
        <v>4182</v>
      </c>
      <c r="P93" s="2012"/>
      <c r="Q93" s="2012"/>
      <c r="R93" s="910">
        <f>IF(Kulturen!$I$222&gt;1,1,0)</f>
        <v>1</v>
      </c>
      <c r="S93" s="1556"/>
    </row>
    <row r="94" spans="3:19" ht="27.2" customHeight="1" x14ac:dyDescent="0.2">
      <c r="C94" s="926"/>
      <c r="D94" s="976">
        <v>20</v>
      </c>
      <c r="E94" s="989" t="str">
        <f t="shared" si="4"/>
        <v/>
      </c>
      <c r="F94" s="993">
        <f>COUNTIF($G$73:G94,1)</f>
        <v>5</v>
      </c>
      <c r="G94" s="983">
        <f>IF(GL_Eingabe!M21=1,0,$R$94)</f>
        <v>0</v>
      </c>
      <c r="H94" s="683">
        <v>201</v>
      </c>
      <c r="I94" s="683">
        <v>3</v>
      </c>
      <c r="J94" s="481" t="s">
        <v>4190</v>
      </c>
      <c r="O94" s="2012" t="s">
        <v>4183</v>
      </c>
      <c r="P94" s="2012"/>
      <c r="Q94" s="2012"/>
      <c r="R94" s="910">
        <f>IF(Kulturen!$I$217=0,1,0)</f>
        <v>1</v>
      </c>
      <c r="S94" s="1556"/>
    </row>
    <row r="95" spans="3:19" ht="35.450000000000003" customHeight="1" x14ac:dyDescent="0.2">
      <c r="C95" s="926"/>
      <c r="D95" s="976">
        <v>21</v>
      </c>
      <c r="E95" s="989" t="str">
        <f t="shared" si="4"/>
        <v/>
      </c>
      <c r="F95" s="993">
        <f>COUNTIF($G$73:G95,1)</f>
        <v>5</v>
      </c>
      <c r="G95" s="983">
        <f>IF(GL_Eingabe!M21=1,0,$R$95)</f>
        <v>0</v>
      </c>
      <c r="H95" s="683">
        <v>202</v>
      </c>
      <c r="I95" s="683">
        <v>4</v>
      </c>
      <c r="J95" s="481" t="s">
        <v>4525</v>
      </c>
      <c r="O95" s="2012" t="s">
        <v>4184</v>
      </c>
      <c r="P95" s="2012"/>
      <c r="Q95" s="2012"/>
      <c r="R95" s="910">
        <f>IF(Kulturen!I222=1,1,0)</f>
        <v>0</v>
      </c>
      <c r="S95" s="1556"/>
    </row>
    <row r="96" spans="3:19" ht="55.7" customHeight="1" x14ac:dyDescent="0.2">
      <c r="C96" s="926"/>
      <c r="D96" s="976">
        <v>22</v>
      </c>
      <c r="E96" s="989" t="str">
        <f t="shared" si="4"/>
        <v/>
      </c>
      <c r="F96" s="993">
        <f>COUNTIF($G$73:G96,1)</f>
        <v>5</v>
      </c>
      <c r="G96" s="983">
        <f>IF(GL_Eingabe!M21=1,0,$R$96)</f>
        <v>0</v>
      </c>
      <c r="H96" s="683">
        <v>203</v>
      </c>
      <c r="I96" s="683">
        <v>5</v>
      </c>
      <c r="J96" s="2018" t="s">
        <v>4777</v>
      </c>
      <c r="K96" s="2018"/>
      <c r="L96" s="2018"/>
      <c r="M96" s="2018"/>
      <c r="N96" s="2018"/>
      <c r="O96" s="2012" t="s">
        <v>4733</v>
      </c>
      <c r="P96" s="2012"/>
      <c r="Q96" s="2012"/>
      <c r="R96" s="910">
        <f>IF(GL_Eingabe!$H$47&gt;0,1,0)</f>
        <v>0</v>
      </c>
      <c r="S96" s="1556"/>
    </row>
    <row r="97" spans="2:19" ht="37.35" customHeight="1" x14ac:dyDescent="0.2">
      <c r="C97" s="926"/>
      <c r="D97" s="976">
        <v>23</v>
      </c>
      <c r="E97" s="989" t="str">
        <f t="shared" si="4"/>
        <v/>
      </c>
      <c r="F97" s="993">
        <f>COUNTIF($G$73:G97,1)</f>
        <v>5</v>
      </c>
      <c r="G97" s="983">
        <f>IF(GL_Eingabe!M21=1,0,$R$97)</f>
        <v>0</v>
      </c>
      <c r="H97" s="683">
        <v>205</v>
      </c>
      <c r="I97" s="683">
        <v>6</v>
      </c>
      <c r="J97" s="2026" t="s">
        <v>4231</v>
      </c>
      <c r="K97" s="2026"/>
      <c r="L97" s="2026"/>
      <c r="M97" s="2026"/>
      <c r="N97" s="2026"/>
      <c r="O97" s="2012" t="s">
        <v>4432</v>
      </c>
      <c r="P97" s="2012"/>
      <c r="Q97" s="2012"/>
      <c r="R97" s="910"/>
      <c r="S97" s="1556"/>
    </row>
    <row r="98" spans="2:19" ht="36.75" customHeight="1" x14ac:dyDescent="0.2">
      <c r="C98" s="926"/>
      <c r="D98" s="976">
        <v>24</v>
      </c>
      <c r="E98" s="989" t="str">
        <f t="shared" si="4"/>
        <v/>
      </c>
      <c r="F98" s="993">
        <f>COUNTIF($G$73:G98,1)</f>
        <v>5</v>
      </c>
      <c r="G98" s="983">
        <f>IF(GL_Eingabe!M21=1,0,$R$98)</f>
        <v>0</v>
      </c>
      <c r="H98" s="683">
        <v>206</v>
      </c>
      <c r="I98" s="683">
        <v>7</v>
      </c>
      <c r="J98" s="481" t="s">
        <v>4201</v>
      </c>
      <c r="O98" s="2012" t="s">
        <v>4182</v>
      </c>
      <c r="P98" s="2012"/>
      <c r="Q98" s="2012"/>
      <c r="R98" s="910">
        <f>IF(Kulturen!$J$222&gt;1,1,0)</f>
        <v>1</v>
      </c>
      <c r="S98" s="1556"/>
    </row>
    <row r="99" spans="2:19" ht="26.45" customHeight="1" x14ac:dyDescent="0.2">
      <c r="C99" s="926"/>
      <c r="D99" s="976">
        <v>25</v>
      </c>
      <c r="E99" s="989" t="str">
        <f t="shared" si="4"/>
        <v/>
      </c>
      <c r="F99" s="993">
        <f>COUNTIF($G$73:G99,1)</f>
        <v>5</v>
      </c>
      <c r="G99" s="983">
        <f>IF(GL_Eingabe!M21=1,0,$R$99)</f>
        <v>0</v>
      </c>
      <c r="H99" s="683">
        <v>207</v>
      </c>
      <c r="I99" s="683">
        <v>8</v>
      </c>
      <c r="J99" s="481" t="s">
        <v>4203</v>
      </c>
      <c r="O99" s="2012" t="s">
        <v>4183</v>
      </c>
      <c r="P99" s="2012"/>
      <c r="Q99" s="2012"/>
      <c r="R99" s="910">
        <f>IF(Kulturen!J218=0,1,0)</f>
        <v>1</v>
      </c>
      <c r="S99" s="1556"/>
    </row>
    <row r="100" spans="2:19" ht="37.35" customHeight="1" x14ac:dyDescent="0.2">
      <c r="C100" s="926"/>
      <c r="D100" s="976">
        <v>26</v>
      </c>
      <c r="E100" s="989" t="str">
        <f t="shared" si="4"/>
        <v/>
      </c>
      <c r="F100" s="993">
        <f>COUNTIF($G$73:G100,1)</f>
        <v>5</v>
      </c>
      <c r="G100" s="983">
        <f>IF(GL_Eingabe!M21=1,0,$R$100)</f>
        <v>0</v>
      </c>
      <c r="H100" s="683">
        <v>208</v>
      </c>
      <c r="I100" s="683">
        <v>9</v>
      </c>
      <c r="J100" s="2026" t="s">
        <v>4232</v>
      </c>
      <c r="K100" s="2026"/>
      <c r="L100" s="2026"/>
      <c r="M100" s="2026"/>
      <c r="N100" s="2026"/>
      <c r="O100" s="2012" t="s">
        <v>4432</v>
      </c>
      <c r="P100" s="2012"/>
      <c r="Q100" s="2012"/>
      <c r="R100" s="910"/>
      <c r="S100" s="907" t="s">
        <v>4300</v>
      </c>
    </row>
    <row r="101" spans="2:19" ht="36" customHeight="1" x14ac:dyDescent="0.2">
      <c r="C101" s="926"/>
      <c r="D101" s="976">
        <v>27</v>
      </c>
      <c r="E101" s="989" t="str">
        <f t="shared" si="4"/>
        <v/>
      </c>
      <c r="F101" s="993">
        <f>COUNTIF($G$73:G101,1)</f>
        <v>5</v>
      </c>
      <c r="G101" s="983">
        <f>IF(GL_Eingabe!M21=1,0,$R$101)</f>
        <v>0</v>
      </c>
      <c r="H101" s="683">
        <v>209</v>
      </c>
      <c r="I101" s="683">
        <v>10</v>
      </c>
      <c r="J101" s="481" t="s">
        <v>4395</v>
      </c>
      <c r="O101" s="2012" t="s">
        <v>4182</v>
      </c>
      <c r="P101" s="2012"/>
      <c r="Q101" s="2012"/>
      <c r="R101" s="910">
        <f>IF(Kulturen!$K$222&gt;1,1,0)</f>
        <v>1</v>
      </c>
      <c r="S101" s="1556"/>
    </row>
    <row r="102" spans="2:19" ht="27.2" customHeight="1" x14ac:dyDescent="0.2">
      <c r="C102" s="926"/>
      <c r="D102" s="976">
        <v>28</v>
      </c>
      <c r="E102" s="989" t="str">
        <f t="shared" si="4"/>
        <v/>
      </c>
      <c r="F102" s="993">
        <f>COUNTIF($G$73:G102,1)</f>
        <v>5</v>
      </c>
      <c r="G102" s="983">
        <f>IF(GL_Eingabe!M21=1,0,$R$102)</f>
        <v>0</v>
      </c>
      <c r="H102" s="683">
        <v>210</v>
      </c>
      <c r="I102" s="683">
        <v>11</v>
      </c>
      <c r="J102" s="481" t="s">
        <v>4204</v>
      </c>
      <c r="O102" s="2012" t="s">
        <v>4183</v>
      </c>
      <c r="P102" s="2012"/>
      <c r="Q102" s="2012"/>
      <c r="R102" s="910">
        <f>IF(Kulturen!$K$219=0,1,0)</f>
        <v>1</v>
      </c>
      <c r="S102" s="1556"/>
    </row>
    <row r="103" spans="2:19" ht="36.75" customHeight="1" x14ac:dyDescent="0.2">
      <c r="C103" s="926"/>
      <c r="D103" s="976">
        <v>29</v>
      </c>
      <c r="E103" s="989" t="str">
        <f t="shared" si="4"/>
        <v/>
      </c>
      <c r="F103" s="993">
        <f>COUNTIF($G$73:G103,1)</f>
        <v>5</v>
      </c>
      <c r="G103" s="983">
        <f>IF(GL_Eingabe!M21=1,0,$R$103)</f>
        <v>0</v>
      </c>
      <c r="H103" s="683">
        <v>211</v>
      </c>
      <c r="I103" s="683">
        <v>12</v>
      </c>
      <c r="J103" s="2026" t="s">
        <v>4233</v>
      </c>
      <c r="K103" s="2026"/>
      <c r="L103" s="2026"/>
      <c r="M103" s="2026"/>
      <c r="N103" s="2026"/>
      <c r="O103" s="2012" t="s">
        <v>4432</v>
      </c>
      <c r="P103" s="2012"/>
      <c r="Q103" s="2012"/>
      <c r="R103" s="910"/>
      <c r="S103" s="1556" t="s">
        <v>4300</v>
      </c>
    </row>
    <row r="104" spans="2:19" ht="27.2" customHeight="1" x14ac:dyDescent="0.2">
      <c r="C104" s="926"/>
      <c r="D104" s="976">
        <v>30</v>
      </c>
      <c r="E104" s="989" t="str">
        <f t="shared" si="4"/>
        <v/>
      </c>
      <c r="F104" s="993">
        <f>COUNTIF($G$73:G104,1)</f>
        <v>5</v>
      </c>
      <c r="G104" s="983">
        <f>IF(GL_Eingabe!M21=1,0,$R$104)</f>
        <v>0</v>
      </c>
      <c r="H104" s="683">
        <v>9</v>
      </c>
      <c r="I104" s="683">
        <v>13</v>
      </c>
      <c r="J104" s="481" t="s">
        <v>4299</v>
      </c>
      <c r="O104" s="2012"/>
      <c r="P104" s="2012"/>
      <c r="Q104" s="2012"/>
      <c r="R104" s="910">
        <f>IF(AND(GL_Eingabe!J29="",GL_Eingabe!J31=0),1,0)</f>
        <v>1</v>
      </c>
      <c r="S104" s="1556"/>
    </row>
    <row r="105" spans="2:19" x14ac:dyDescent="0.2">
      <c r="B105" s="481"/>
      <c r="C105" s="926"/>
      <c r="D105" s="979">
        <v>31</v>
      </c>
      <c r="E105" s="1437">
        <f t="shared" si="4"/>
        <v>6</v>
      </c>
      <c r="F105" s="994">
        <f>COUNTIF($G$73:G105,1)</f>
        <v>6</v>
      </c>
      <c r="G105" s="987">
        <v>1</v>
      </c>
      <c r="H105" s="919"/>
      <c r="I105" s="919"/>
      <c r="J105" s="1432" t="s">
        <v>4418</v>
      </c>
      <c r="K105" s="928"/>
      <c r="L105" s="928"/>
      <c r="M105" s="928"/>
      <c r="N105" s="928"/>
      <c r="O105" s="921"/>
      <c r="P105" s="921"/>
      <c r="Q105" s="921"/>
      <c r="R105" s="920"/>
      <c r="S105" s="1556"/>
    </row>
    <row r="106" spans="2:19" x14ac:dyDescent="0.2">
      <c r="B106" s="481"/>
      <c r="C106" s="926"/>
      <c r="D106" s="976">
        <v>32</v>
      </c>
      <c r="E106" s="989" t="str">
        <f t="shared" si="4"/>
        <v/>
      </c>
      <c r="F106" s="993">
        <f>COUNTIF($G$73:G106,1)</f>
        <v>6</v>
      </c>
      <c r="G106" s="983"/>
      <c r="H106" s="683"/>
      <c r="I106" s="683"/>
      <c r="J106" s="481" t="s">
        <v>4417</v>
      </c>
      <c r="R106" s="910"/>
      <c r="S106" s="1556"/>
    </row>
    <row r="107" spans="2:19" ht="28.5" customHeight="1" x14ac:dyDescent="0.2">
      <c r="B107" s="481"/>
      <c r="C107" s="926"/>
      <c r="D107" s="976">
        <v>33</v>
      </c>
      <c r="E107" s="989" t="str">
        <f t="shared" si="4"/>
        <v/>
      </c>
      <c r="F107" s="993">
        <f>COUNTIF($G$73:G107,1)</f>
        <v>6</v>
      </c>
      <c r="G107" s="983">
        <f>IF(GL_Eingabe!M21=1,0,$R$107)</f>
        <v>0</v>
      </c>
      <c r="H107" s="683">
        <v>212</v>
      </c>
      <c r="I107" s="683">
        <v>1</v>
      </c>
      <c r="J107" s="2018" t="s">
        <v>4185</v>
      </c>
      <c r="K107" s="2018"/>
      <c r="L107" s="2018"/>
      <c r="M107" s="2018"/>
      <c r="N107" s="2018"/>
      <c r="O107" s="2012" t="s">
        <v>4186</v>
      </c>
      <c r="P107" s="2012"/>
      <c r="Q107" s="2012"/>
      <c r="R107" s="910">
        <f>IF(GL_Eingabe!$F$47=0,1,0)</f>
        <v>1</v>
      </c>
      <c r="S107" s="1556"/>
    </row>
    <row r="108" spans="2:19" x14ac:dyDescent="0.2">
      <c r="C108" s="926"/>
      <c r="D108" s="973"/>
      <c r="E108" s="826"/>
      <c r="F108" s="988"/>
      <c r="G108" s="985"/>
      <c r="H108" s="912"/>
      <c r="I108" s="912"/>
      <c r="J108" s="913"/>
      <c r="K108" s="914"/>
      <c r="L108" s="914"/>
      <c r="M108" s="914"/>
      <c r="N108" s="914"/>
      <c r="O108" s="915"/>
      <c r="P108" s="915"/>
      <c r="Q108" s="915"/>
      <c r="R108" s="1055">
        <f>SUM(R92:R107)</f>
        <v>9</v>
      </c>
      <c r="S108" s="1056" t="s">
        <v>4567</v>
      </c>
    </row>
    <row r="109" spans="2:19" s="599" customFormat="1" x14ac:dyDescent="0.2">
      <c r="C109" s="941"/>
      <c r="D109" s="980"/>
      <c r="E109" s="997">
        <f>IF(F109&gt;F108,F109,"")</f>
        <v>1</v>
      </c>
      <c r="F109" s="999">
        <v>1</v>
      </c>
      <c r="G109" s="986">
        <v>1</v>
      </c>
      <c r="H109" s="932"/>
      <c r="I109" s="932"/>
      <c r="J109" s="931" t="s">
        <v>4430</v>
      </c>
      <c r="K109" s="933"/>
      <c r="L109" s="931"/>
      <c r="M109" s="933"/>
      <c r="N109" s="933" t="s">
        <v>4335</v>
      </c>
      <c r="O109" s="930"/>
      <c r="P109" s="930"/>
      <c r="Q109" s="930"/>
      <c r="R109" s="939"/>
      <c r="S109" s="934"/>
    </row>
    <row r="110" spans="2:19" x14ac:dyDescent="0.2">
      <c r="C110" s="926"/>
      <c r="D110" s="1566"/>
      <c r="E110" s="819"/>
      <c r="F110" s="993"/>
      <c r="G110" s="1567"/>
    </row>
    <row r="111" spans="2:19" x14ac:dyDescent="0.2">
      <c r="C111" s="926"/>
      <c r="D111" s="976">
        <v>1</v>
      </c>
      <c r="E111" s="989">
        <f t="shared" ref="E111:E149" si="5">IF(F111&gt;F110,F111,"")</f>
        <v>2</v>
      </c>
      <c r="F111" s="993">
        <f>COUNTIF($G$109:G111,1)</f>
        <v>2</v>
      </c>
      <c r="G111" s="983">
        <f t="shared" ref="G111" si="6">R111</f>
        <v>1</v>
      </c>
      <c r="H111" s="683">
        <v>21</v>
      </c>
      <c r="I111" s="683">
        <v>1</v>
      </c>
      <c r="J111" s="1436" t="s">
        <v>4476</v>
      </c>
      <c r="R111" s="910">
        <f>IF(OR_Eingabe!M22=1,1,0)</f>
        <v>1</v>
      </c>
      <c r="S111" s="1556"/>
    </row>
    <row r="112" spans="2:19" x14ac:dyDescent="0.2">
      <c r="C112" s="926"/>
      <c r="D112" s="976">
        <v>3</v>
      </c>
      <c r="E112" s="989" t="str">
        <f t="shared" si="5"/>
        <v/>
      </c>
      <c r="F112" s="993">
        <f>COUNTIF($G$109:G112,1)</f>
        <v>2</v>
      </c>
      <c r="G112" s="983">
        <f>IF(OR_Eingabe!M22=1,0,R112)</f>
        <v>0</v>
      </c>
      <c r="H112" s="683">
        <v>69</v>
      </c>
      <c r="I112" s="683">
        <v>3</v>
      </c>
      <c r="J112" s="481" t="s">
        <v>3969</v>
      </c>
      <c r="O112" s="689"/>
      <c r="R112" s="911">
        <f>IF(Kulturen!H480="Obst",0,IF(Kulturen!$I$516&gt;0,1,0))</f>
        <v>1</v>
      </c>
      <c r="S112" s="1556"/>
    </row>
    <row r="113" spans="1:19" x14ac:dyDescent="0.2">
      <c r="C113" s="926"/>
      <c r="D113" s="976">
        <v>4</v>
      </c>
      <c r="E113" s="989" t="str">
        <f t="shared" si="5"/>
        <v/>
      </c>
      <c r="F113" s="993">
        <f>COUNTIF($G$109:G113,1)</f>
        <v>2</v>
      </c>
      <c r="G113" s="983">
        <f>IF(OR_Eingabe!M22=1,0,R113)</f>
        <v>0</v>
      </c>
      <c r="H113" s="683">
        <v>9</v>
      </c>
      <c r="I113" s="683">
        <v>4</v>
      </c>
      <c r="J113" s="510" t="s">
        <v>4285</v>
      </c>
      <c r="R113" s="910">
        <f>IF(OR_Eingabe!F24="",1,0)</f>
        <v>1</v>
      </c>
      <c r="S113" s="1556"/>
    </row>
    <row r="114" spans="1:19" ht="56.45" customHeight="1" x14ac:dyDescent="0.2">
      <c r="C114" s="926"/>
      <c r="D114" s="976">
        <v>5</v>
      </c>
      <c r="E114" s="989" t="str">
        <f t="shared" si="5"/>
        <v/>
      </c>
      <c r="F114" s="993">
        <f>COUNTIF($G$109:G114,1)</f>
        <v>2</v>
      </c>
      <c r="G114" s="983">
        <f>IF(OR_Eingabe!M22=1,0,R114)</f>
        <v>0</v>
      </c>
      <c r="H114" s="683">
        <v>76</v>
      </c>
      <c r="I114" s="683">
        <v>5</v>
      </c>
      <c r="J114" s="2023" t="s">
        <v>3974</v>
      </c>
      <c r="K114" s="2023"/>
      <c r="L114" s="2023"/>
      <c r="M114" s="2023"/>
      <c r="N114" s="2023"/>
      <c r="R114" s="910" t="e">
        <f>IF(AND(Kulturen!H479="Reben",Kulturen!H498&lt;Kommentarliste!L15),1,0)</f>
        <v>#VALUE!</v>
      </c>
      <c r="S114" s="1556"/>
    </row>
    <row r="115" spans="1:19" x14ac:dyDescent="0.2">
      <c r="C115" s="926"/>
      <c r="D115" s="976">
        <v>6</v>
      </c>
      <c r="E115" s="989" t="str">
        <f t="shared" si="5"/>
        <v/>
      </c>
      <c r="F115" s="993">
        <f>COUNTIF($G$109:G115,1)</f>
        <v>2</v>
      </c>
      <c r="G115" s="983">
        <f>IF(OR_Eingabe!M22=1,0,R115)</f>
        <v>0</v>
      </c>
      <c r="H115" s="683">
        <v>71</v>
      </c>
      <c r="I115" s="683">
        <v>6</v>
      </c>
      <c r="J115" s="2023" t="s">
        <v>3971</v>
      </c>
      <c r="K115" s="2023"/>
      <c r="L115" s="2023"/>
      <c r="M115" s="2023"/>
      <c r="N115" s="2023"/>
      <c r="R115" s="910">
        <f>IF(OR_Eingabe!M33&gt;5,1,0)</f>
        <v>0</v>
      </c>
      <c r="S115" s="1556"/>
    </row>
    <row r="116" spans="1:19" x14ac:dyDescent="0.2">
      <c r="C116" s="926"/>
      <c r="D116" s="976">
        <v>7</v>
      </c>
      <c r="E116" s="989" t="str">
        <f t="shared" si="5"/>
        <v/>
      </c>
      <c r="F116" s="993">
        <f>COUNTIF($G$109:G116,1)</f>
        <v>2</v>
      </c>
      <c r="G116" s="983">
        <f>IF(OR_Eingabe!M22=1,0,R116)</f>
        <v>0</v>
      </c>
      <c r="H116" s="683">
        <v>18</v>
      </c>
      <c r="I116" s="683">
        <v>7</v>
      </c>
      <c r="J116" s="481" t="s">
        <v>3962</v>
      </c>
      <c r="R116" s="910">
        <f>IF(OR_Eingabe!M33&gt;5,1,0)</f>
        <v>0</v>
      </c>
      <c r="S116" s="1556"/>
    </row>
    <row r="117" spans="1:19" x14ac:dyDescent="0.2">
      <c r="C117" s="926"/>
      <c r="D117" s="976">
        <v>8</v>
      </c>
      <c r="E117" s="989" t="str">
        <f t="shared" si="5"/>
        <v/>
      </c>
      <c r="F117" s="993">
        <f>COUNTIF($G$109:G117,1)</f>
        <v>2</v>
      </c>
      <c r="G117" s="983">
        <f>IF(OR_Eingabe!M22=1,0,R117)</f>
        <v>0</v>
      </c>
      <c r="H117" s="683">
        <v>24</v>
      </c>
      <c r="I117" s="683">
        <v>8</v>
      </c>
      <c r="J117" s="687" t="s">
        <v>4443</v>
      </c>
      <c r="R117" s="910">
        <f>IF(AND(ISBLANK(OR_Eingabe!H41),NOT(OR_Eingabe!$M$41=1)),1,0)</f>
        <v>0</v>
      </c>
      <c r="S117" s="1556"/>
    </row>
    <row r="118" spans="1:19" x14ac:dyDescent="0.2">
      <c r="C118" s="926"/>
      <c r="D118" s="976">
        <v>9</v>
      </c>
      <c r="E118" s="989" t="str">
        <f t="shared" si="5"/>
        <v/>
      </c>
      <c r="F118" s="993">
        <f>COUNTIF($G$109:G118,1)</f>
        <v>2</v>
      </c>
      <c r="G118" s="983">
        <f>IF(OR_Eingabe!$M$22=1,0,R118)</f>
        <v>0</v>
      </c>
      <c r="H118" s="683">
        <v>24</v>
      </c>
      <c r="I118" s="683">
        <v>9</v>
      </c>
      <c r="J118" s="687" t="s">
        <v>4444</v>
      </c>
      <c r="R118" s="910">
        <f>IF(AND(ISBLANK(OR_Eingabe!H45),NOT(OR_Eingabe!$M$45=1)),1,0)</f>
        <v>0</v>
      </c>
      <c r="S118" s="1556"/>
    </row>
    <row r="119" spans="1:19" x14ac:dyDescent="0.2">
      <c r="C119" s="926"/>
      <c r="D119" s="976">
        <v>10</v>
      </c>
      <c r="E119" s="989" t="str">
        <f t="shared" si="5"/>
        <v/>
      </c>
      <c r="F119" s="993">
        <f>COUNTIF($G$109:G119,1)</f>
        <v>2</v>
      </c>
      <c r="G119" s="983">
        <f>IF(OR_Eingabe!$M$22=1,0,R119)</f>
        <v>0</v>
      </c>
      <c r="H119" s="683"/>
      <c r="I119" s="683">
        <v>10</v>
      </c>
      <c r="J119" s="687" t="s">
        <v>4538</v>
      </c>
      <c r="R119" s="910">
        <f>IF(AND(OR(ISBLANK(OR_Eingabe!$F$49),ISBLANK(OR_Eingabe!$G$49),ISBLANK(OR_Eingabe!$H$49)),OR_Eingabe!$M$49&lt;4),1,0)</f>
        <v>0</v>
      </c>
      <c r="S119" s="1556"/>
    </row>
    <row r="120" spans="1:19" x14ac:dyDescent="0.2">
      <c r="C120" s="926"/>
      <c r="D120" s="976">
        <v>11</v>
      </c>
      <c r="E120" s="989" t="str">
        <f t="shared" si="5"/>
        <v/>
      </c>
      <c r="F120" s="993">
        <f>COUNTIF($G$109:G120,1)</f>
        <v>2</v>
      </c>
      <c r="G120" s="983">
        <f>IF(OR_Eingabe!M22=1,0,R120)</f>
        <v>0</v>
      </c>
      <c r="H120" s="683">
        <v>25</v>
      </c>
      <c r="I120" s="683">
        <v>11</v>
      </c>
      <c r="J120" s="687" t="s">
        <v>4441</v>
      </c>
      <c r="R120" s="910">
        <f>IF(AND(OR_Eingabe!$M$41&gt;1,ISBLANK(OR_Eingabe!$J$41)),1,0)</f>
        <v>0</v>
      </c>
      <c r="S120" s="1556"/>
    </row>
    <row r="121" spans="1:19" x14ac:dyDescent="0.2">
      <c r="C121" s="926"/>
      <c r="D121" s="976">
        <v>12</v>
      </c>
      <c r="E121" s="989" t="str">
        <f t="shared" si="5"/>
        <v/>
      </c>
      <c r="F121" s="993">
        <f>COUNTIF($G$109:G121,1)</f>
        <v>2</v>
      </c>
      <c r="G121" s="983">
        <f>IF(OR_Eingabe!$M$22=1,0,R121)</f>
        <v>0</v>
      </c>
      <c r="H121" s="683">
        <v>25</v>
      </c>
      <c r="I121" s="683">
        <v>12</v>
      </c>
      <c r="J121" s="687" t="s">
        <v>4442</v>
      </c>
      <c r="R121" s="910">
        <f>IF(AND(OR_Eingabe!$M$45&gt;1,ISBLANK(OR_Eingabe!$J$45)),1,0)</f>
        <v>0</v>
      </c>
      <c r="S121" s="1556"/>
    </row>
    <row r="122" spans="1:19" x14ac:dyDescent="0.2">
      <c r="C122" s="926"/>
      <c r="D122" s="976">
        <v>13</v>
      </c>
      <c r="E122" s="989" t="str">
        <f t="shared" si="5"/>
        <v/>
      </c>
      <c r="F122" s="993">
        <f>COUNTIF($G$109:G122,1)</f>
        <v>2</v>
      </c>
      <c r="G122" s="983">
        <f>IF(OR_Eingabe!$M$22=1,0,R122)</f>
        <v>0</v>
      </c>
      <c r="H122" s="683"/>
      <c r="I122" s="683">
        <v>13</v>
      </c>
      <c r="J122" s="687" t="s">
        <v>4539</v>
      </c>
      <c r="R122" s="910">
        <f>IF(AND(OR_Eingabe!$M$49&lt;4,ISBLANK(OR_Eingabe!$J$49)),1,0)</f>
        <v>0</v>
      </c>
      <c r="S122" s="1556"/>
    </row>
    <row r="123" spans="1:19" x14ac:dyDescent="0.2">
      <c r="C123" s="926"/>
      <c r="D123" s="976">
        <v>14</v>
      </c>
      <c r="E123" s="989" t="str">
        <f t="shared" si="5"/>
        <v/>
      </c>
      <c r="F123" s="993">
        <f>COUNTIF($G$109:G123,1)</f>
        <v>2</v>
      </c>
      <c r="G123" s="983">
        <f>IF(OR_Eingabe!M22=1,0,R123)</f>
        <v>0</v>
      </c>
      <c r="H123" s="683">
        <v>8</v>
      </c>
      <c r="I123" s="683">
        <v>14</v>
      </c>
      <c r="J123" s="687" t="s">
        <v>4290</v>
      </c>
      <c r="R123" s="910" t="e">
        <f>IF(Kulturen!H632&lt;0,1,0)</f>
        <v>#VALUE!</v>
      </c>
      <c r="S123" s="1556"/>
    </row>
    <row r="124" spans="1:19" x14ac:dyDescent="0.2">
      <c r="C124" s="926"/>
      <c r="D124" s="976">
        <v>15</v>
      </c>
      <c r="E124" s="989" t="str">
        <f t="shared" si="5"/>
        <v/>
      </c>
      <c r="F124" s="993">
        <f>COUNTIF($G$109:G124,1)</f>
        <v>2</v>
      </c>
      <c r="G124" s="983">
        <f>IF(OR_Eingabe!M22=1,0,R124)</f>
        <v>0</v>
      </c>
      <c r="H124" s="683">
        <v>74</v>
      </c>
      <c r="I124" s="683">
        <v>15</v>
      </c>
      <c r="J124" s="687" t="s">
        <v>3973</v>
      </c>
      <c r="R124" s="910">
        <f>IF(OR_Eingabe!$M$22=Kulturen!E91,1,0)</f>
        <v>0</v>
      </c>
      <c r="S124" s="1556"/>
    </row>
    <row r="125" spans="1:19" x14ac:dyDescent="0.2">
      <c r="A125" s="595"/>
      <c r="B125" s="595"/>
      <c r="C125" s="926"/>
      <c r="D125" s="976">
        <v>16</v>
      </c>
      <c r="E125" s="989" t="str">
        <f t="shared" si="5"/>
        <v/>
      </c>
      <c r="F125" s="993">
        <f>COUNTIF($G$109:G125,1)</f>
        <v>2</v>
      </c>
      <c r="G125" s="984">
        <f>IF(OR_Eingabe!M22=1,0,R125)</f>
        <v>0</v>
      </c>
      <c r="H125" s="683">
        <v>7</v>
      </c>
      <c r="I125" s="683">
        <v>16</v>
      </c>
      <c r="J125" s="1002" t="s">
        <v>3958</v>
      </c>
      <c r="K125" s="595"/>
      <c r="L125" s="595"/>
      <c r="M125" s="595"/>
      <c r="N125" s="595"/>
      <c r="O125" s="658" t="s">
        <v>4111</v>
      </c>
      <c r="P125" s="658"/>
      <c r="Q125" s="658"/>
      <c r="R125" s="911" t="e">
        <f>IF(Kulturen!H497&gt;Kulturen!H496,1,0)</f>
        <v>#VALUE!</v>
      </c>
      <c r="S125" s="1556"/>
    </row>
    <row r="126" spans="1:19" x14ac:dyDescent="0.2">
      <c r="A126" s="595"/>
      <c r="B126" s="595"/>
      <c r="C126" s="926"/>
      <c r="D126" s="976">
        <v>17</v>
      </c>
      <c r="E126" s="989" t="str">
        <f t="shared" si="5"/>
        <v/>
      </c>
      <c r="F126" s="1057">
        <f>COUNTIF($G$109:G126,1)</f>
        <v>2</v>
      </c>
      <c r="G126" s="984">
        <f>IF(OR_Eingabe!M22=1,0,R126)</f>
        <v>0</v>
      </c>
      <c r="H126" s="1007">
        <v>16</v>
      </c>
      <c r="I126" s="683">
        <v>17</v>
      </c>
      <c r="J126" s="1562" t="s">
        <v>3961</v>
      </c>
      <c r="K126" s="1009"/>
      <c r="L126" s="1009"/>
      <c r="M126" s="1009"/>
      <c r="N126" s="1009"/>
      <c r="O126" s="1563"/>
      <c r="P126" s="1563"/>
      <c r="Q126" s="1563"/>
      <c r="R126" s="1010">
        <f>IF(OR_Eingabe!C35=0,1,0)</f>
        <v>1</v>
      </c>
      <c r="S126" s="1556"/>
    </row>
    <row r="127" spans="1:19" x14ac:dyDescent="0.2">
      <c r="A127" s="595"/>
      <c r="B127" s="595"/>
      <c r="C127" s="926"/>
      <c r="D127" s="976">
        <v>18</v>
      </c>
      <c r="E127" s="989" t="str">
        <f t="shared" si="5"/>
        <v/>
      </c>
      <c r="F127" s="993">
        <f>COUNTIF($G$109:G127,1)</f>
        <v>2</v>
      </c>
      <c r="G127" s="984">
        <f>IF(OR_Eingabe!M22=1,0,R127)</f>
        <v>0</v>
      </c>
      <c r="H127" s="683">
        <v>82</v>
      </c>
      <c r="I127" s="683">
        <v>18</v>
      </c>
      <c r="J127" s="687" t="s">
        <v>4479</v>
      </c>
      <c r="K127" s="595"/>
      <c r="L127" s="595"/>
      <c r="M127" s="595"/>
      <c r="N127" s="595"/>
      <c r="O127" s="658"/>
      <c r="P127" s="658"/>
      <c r="Q127" s="658" t="s">
        <v>4480</v>
      </c>
      <c r="R127" s="911">
        <f>IF(AND(OR_Eingabe!C35&lt;1.5%,OR_Eingabe!M60=2),1,0)</f>
        <v>0</v>
      </c>
      <c r="S127" s="1556"/>
    </row>
    <row r="128" spans="1:19" x14ac:dyDescent="0.2">
      <c r="C128" s="926"/>
      <c r="D128" s="1558">
        <v>19</v>
      </c>
      <c r="E128" s="1005"/>
      <c r="F128" s="1561"/>
      <c r="G128" s="1058"/>
      <c r="H128" s="1059"/>
      <c r="I128" s="909"/>
      <c r="J128" s="1060"/>
      <c r="K128" s="1061"/>
      <c r="L128" s="1061"/>
      <c r="M128" s="1061"/>
      <c r="N128" s="1061"/>
      <c r="O128" s="1062"/>
      <c r="P128" s="1062"/>
      <c r="Q128" s="1062"/>
      <c r="R128" s="1063">
        <f>IFERROR(SUM(R110:R127),1)</f>
        <v>1</v>
      </c>
      <c r="S128" s="1056" t="s">
        <v>4567</v>
      </c>
    </row>
    <row r="129" spans="1:19" s="599" customFormat="1" ht="18.75" x14ac:dyDescent="0.2">
      <c r="C129" s="941"/>
      <c r="D129" s="978">
        <v>20</v>
      </c>
      <c r="E129" s="1564">
        <f>IF(F129&gt;F127,F129,"")</f>
        <v>3</v>
      </c>
      <c r="F129" s="1565">
        <f>COUNTIF($G$109:G129,1)</f>
        <v>3</v>
      </c>
      <c r="G129" s="986">
        <v>1</v>
      </c>
      <c r="H129" s="936"/>
      <c r="I129" s="936"/>
      <c r="J129" s="931" t="s">
        <v>4626</v>
      </c>
      <c r="K129" s="933"/>
      <c r="L129" s="933"/>
      <c r="M129" s="933"/>
      <c r="N129" s="933"/>
      <c r="O129" s="930"/>
      <c r="P129" s="930"/>
      <c r="Q129" s="930"/>
      <c r="R129" s="939"/>
      <c r="S129" s="934"/>
    </row>
    <row r="130" spans="1:19" x14ac:dyDescent="0.2">
      <c r="C130" s="926"/>
      <c r="D130" s="976">
        <v>21</v>
      </c>
      <c r="E130" s="989" t="str">
        <f t="shared" si="5"/>
        <v/>
      </c>
      <c r="F130" s="993">
        <f>COUNTIF($G$109:G130,1)</f>
        <v>3</v>
      </c>
      <c r="G130" s="983"/>
      <c r="H130" s="683"/>
      <c r="I130" s="683"/>
      <c r="R130" s="910"/>
      <c r="S130" s="907"/>
    </row>
    <row r="131" spans="1:19" x14ac:dyDescent="0.2">
      <c r="C131" s="926"/>
      <c r="D131" s="976">
        <v>22</v>
      </c>
      <c r="E131" s="989">
        <f t="shared" si="5"/>
        <v>4</v>
      </c>
      <c r="F131" s="993">
        <f>COUNTIF($G$109:G131,1)</f>
        <v>4</v>
      </c>
      <c r="G131" s="983">
        <f>R131</f>
        <v>1</v>
      </c>
      <c r="H131" s="683">
        <v>21</v>
      </c>
      <c r="I131" s="683">
        <v>1</v>
      </c>
      <c r="J131" s="2022" t="s">
        <v>4476</v>
      </c>
      <c r="K131" s="2022"/>
      <c r="L131" s="2022"/>
      <c r="M131" s="2022"/>
      <c r="N131" s="2022"/>
      <c r="R131" s="910">
        <f>IF(OR_Eingabe!M22=1,1,0)</f>
        <v>1</v>
      </c>
      <c r="S131" s="1556"/>
    </row>
    <row r="132" spans="1:19" ht="28.5" customHeight="1" x14ac:dyDescent="0.2">
      <c r="C132" s="926"/>
      <c r="D132" s="976">
        <v>23</v>
      </c>
      <c r="E132" s="989" t="str">
        <f t="shared" si="5"/>
        <v/>
      </c>
      <c r="F132" s="993">
        <f>COUNTIF($G$109:G132,1)</f>
        <v>4</v>
      </c>
      <c r="G132" s="983">
        <f>IF(OR_Eingabe!M22=1,0,$R$132)</f>
        <v>0</v>
      </c>
      <c r="H132" s="683">
        <v>200</v>
      </c>
      <c r="I132" s="683">
        <v>2</v>
      </c>
      <c r="J132" s="481" t="s">
        <v>4190</v>
      </c>
      <c r="O132" s="2012" t="s">
        <v>4183</v>
      </c>
      <c r="P132" s="2012"/>
      <c r="Q132" s="2012"/>
      <c r="R132" s="910">
        <f>IF(Kulturen!$I$686=0,1,0)</f>
        <v>1</v>
      </c>
      <c r="S132" s="1556"/>
    </row>
    <row r="133" spans="1:19" ht="33.4" customHeight="1" x14ac:dyDescent="0.2">
      <c r="C133" s="926"/>
      <c r="D133" s="976">
        <v>24</v>
      </c>
      <c r="E133" s="989" t="str">
        <f t="shared" si="5"/>
        <v/>
      </c>
      <c r="F133" s="993">
        <f>COUNTIF($G$109:G133,1)</f>
        <v>4</v>
      </c>
      <c r="G133" s="983">
        <f>IF(OR_Eingabe!M22=1,0,$R$133)</f>
        <v>0</v>
      </c>
      <c r="H133" s="683">
        <v>201</v>
      </c>
      <c r="I133" s="683">
        <v>3</v>
      </c>
      <c r="J133" s="481" t="s">
        <v>4625</v>
      </c>
      <c r="O133" s="2012" t="s">
        <v>4182</v>
      </c>
      <c r="P133" s="2012"/>
      <c r="Q133" s="2012"/>
      <c r="R133" s="910">
        <f>IF(Kulturen!$I$690&gt;1,1,0)</f>
        <v>1</v>
      </c>
      <c r="S133" s="1556"/>
    </row>
    <row r="134" spans="1:19" ht="33.950000000000003" customHeight="1" x14ac:dyDescent="0.2">
      <c r="C134" s="926"/>
      <c r="D134" s="976">
        <v>25</v>
      </c>
      <c r="E134" s="989" t="str">
        <f t="shared" si="5"/>
        <v/>
      </c>
      <c r="F134" s="993">
        <f>COUNTIF($G$109:G134,1)</f>
        <v>4</v>
      </c>
      <c r="G134" s="983">
        <f>IF(OR_Eingabe!M22=1,0,R134)</f>
        <v>0</v>
      </c>
      <c r="H134" s="683">
        <v>202</v>
      </c>
      <c r="I134" s="683">
        <v>4</v>
      </c>
      <c r="J134" s="481" t="s">
        <v>4525</v>
      </c>
      <c r="O134" s="2012" t="s">
        <v>4184</v>
      </c>
      <c r="P134" s="2012"/>
      <c r="Q134" s="2012"/>
      <c r="R134" s="910">
        <f>IF(Kulturen!$I$690=1,1,0)</f>
        <v>0</v>
      </c>
      <c r="S134" s="1556"/>
    </row>
    <row r="135" spans="1:19" x14ac:dyDescent="0.2">
      <c r="A135" s="595"/>
      <c r="B135" s="595"/>
      <c r="C135" s="926"/>
      <c r="D135" s="976">
        <v>26</v>
      </c>
      <c r="E135" s="989" t="str">
        <f t="shared" si="5"/>
        <v/>
      </c>
      <c r="F135" s="993">
        <f>COUNTIF($G$109:G135,1)</f>
        <v>4</v>
      </c>
      <c r="G135" s="983">
        <f>IF(OR_Eingabe!M22=1,0,R135)</f>
        <v>0</v>
      </c>
      <c r="H135" s="683">
        <v>9</v>
      </c>
      <c r="I135" s="683">
        <v>5</v>
      </c>
      <c r="J135" s="481" t="s">
        <v>4299</v>
      </c>
      <c r="O135" s="1072"/>
      <c r="P135" s="1072"/>
      <c r="Q135" s="1072"/>
      <c r="R135" s="910">
        <f>IF(OR_Eingabe!F24="",1,0)</f>
        <v>1</v>
      </c>
      <c r="S135" s="1556"/>
    </row>
    <row r="136" spans="1:19" ht="59.1" customHeight="1" x14ac:dyDescent="0.2">
      <c r="C136" s="926"/>
      <c r="D136" s="976">
        <v>27</v>
      </c>
      <c r="E136" s="989" t="str">
        <f t="shared" si="5"/>
        <v/>
      </c>
      <c r="F136" s="993">
        <f>COUNTIF($G$109:G136,1)</f>
        <v>4</v>
      </c>
      <c r="G136" s="983">
        <f>IF(OR_Eingabe!M22=1,0,$R$136)</f>
        <v>0</v>
      </c>
      <c r="H136" s="683">
        <v>203</v>
      </c>
      <c r="I136" s="683">
        <v>6</v>
      </c>
      <c r="J136" s="2018" t="s">
        <v>4777</v>
      </c>
      <c r="K136" s="2018"/>
      <c r="L136" s="2018"/>
      <c r="M136" s="2018"/>
      <c r="N136" s="2018"/>
      <c r="O136" s="2012" t="s">
        <v>4733</v>
      </c>
      <c r="P136" s="2012"/>
      <c r="Q136" s="2012"/>
      <c r="R136" s="910">
        <f>IF(OR_Eingabe!$H$35&gt;0,1,0)</f>
        <v>0</v>
      </c>
      <c r="S136" s="1556"/>
    </row>
    <row r="137" spans="1:19" ht="26.45" customHeight="1" x14ac:dyDescent="0.2">
      <c r="C137" s="926"/>
      <c r="D137" s="976">
        <v>28</v>
      </c>
      <c r="E137" s="989" t="str">
        <f t="shared" si="5"/>
        <v/>
      </c>
      <c r="F137" s="993">
        <f>COUNTIF($G$109:G137,1)</f>
        <v>4</v>
      </c>
      <c r="G137" s="983">
        <f>IF(OR_Eingabe!M22=1,0,$R$137)</f>
        <v>0</v>
      </c>
      <c r="H137" s="683">
        <v>207</v>
      </c>
      <c r="I137" s="683">
        <v>7</v>
      </c>
      <c r="J137" s="481" t="s">
        <v>4203</v>
      </c>
      <c r="O137" s="2012" t="s">
        <v>4183</v>
      </c>
      <c r="P137" s="2012"/>
      <c r="Q137" s="2012"/>
      <c r="R137" s="910">
        <f>IF(Kulturen!$J$687=0,1,0)</f>
        <v>1</v>
      </c>
      <c r="S137" s="1556"/>
    </row>
    <row r="138" spans="1:19" ht="36" customHeight="1" x14ac:dyDescent="0.2">
      <c r="C138" s="926"/>
      <c r="D138" s="976">
        <v>29</v>
      </c>
      <c r="E138" s="989" t="str">
        <f t="shared" si="5"/>
        <v/>
      </c>
      <c r="F138" s="993">
        <f>COUNTIF($G$109:G138,1)</f>
        <v>4</v>
      </c>
      <c r="G138" s="983">
        <f>IF(OR_Eingabe!M22=1,0,$R$138)</f>
        <v>0</v>
      </c>
      <c r="H138" s="683">
        <v>206</v>
      </c>
      <c r="I138" s="683">
        <v>8</v>
      </c>
      <c r="J138" s="481" t="s">
        <v>4201</v>
      </c>
      <c r="O138" s="2012" t="s">
        <v>4182</v>
      </c>
      <c r="P138" s="2012"/>
      <c r="Q138" s="2012"/>
      <c r="R138" s="910">
        <f>IF(Kulturen!$J$690&gt;1,1,0)</f>
        <v>1</v>
      </c>
      <c r="S138" s="1556"/>
    </row>
    <row r="139" spans="1:19" ht="26.45" customHeight="1" x14ac:dyDescent="0.2">
      <c r="C139" s="926"/>
      <c r="D139" s="976">
        <v>30</v>
      </c>
      <c r="E139" s="989" t="str">
        <f t="shared" si="5"/>
        <v/>
      </c>
      <c r="F139" s="993">
        <f>COUNTIF($G$109:G139,1)</f>
        <v>4</v>
      </c>
      <c r="G139" s="983">
        <f>IF(OR_Eingabe!M22=1,0,$R$139)</f>
        <v>0</v>
      </c>
      <c r="H139" s="683">
        <v>210</v>
      </c>
      <c r="I139" s="683">
        <v>9</v>
      </c>
      <c r="J139" s="481" t="s">
        <v>4204</v>
      </c>
      <c r="O139" s="2012" t="s">
        <v>4183</v>
      </c>
      <c r="P139" s="2012"/>
      <c r="Q139" s="2012"/>
      <c r="R139" s="910">
        <f>IF(Kulturen!$K$688=0,1,0)</f>
        <v>1</v>
      </c>
      <c r="S139" s="1556"/>
    </row>
    <row r="140" spans="1:19" ht="33.950000000000003" customHeight="1" x14ac:dyDescent="0.2">
      <c r="C140" s="926"/>
      <c r="D140" s="976">
        <v>31</v>
      </c>
      <c r="E140" s="989" t="str">
        <f t="shared" si="5"/>
        <v/>
      </c>
      <c r="F140" s="993">
        <f>COUNTIF($G$109:G140,1)</f>
        <v>4</v>
      </c>
      <c r="G140" s="983">
        <f>IF(OR_Eingabe!M22=1,0,$R$140)</f>
        <v>0</v>
      </c>
      <c r="H140" s="683">
        <v>209</v>
      </c>
      <c r="I140" s="683">
        <v>10</v>
      </c>
      <c r="J140" s="481" t="s">
        <v>4395</v>
      </c>
      <c r="O140" s="2012" t="s">
        <v>4182</v>
      </c>
      <c r="P140" s="2012"/>
      <c r="Q140" s="2012"/>
      <c r="R140" s="910">
        <f>IF(Kulturen!$K$690&gt;1,1,0)</f>
        <v>1</v>
      </c>
      <c r="S140" s="1556"/>
    </row>
    <row r="141" spans="1:19" x14ac:dyDescent="0.2">
      <c r="C141" s="926"/>
      <c r="D141" s="976">
        <v>32</v>
      </c>
      <c r="E141" s="989" t="str">
        <f>IF(F141&gt;F140,F141,"")</f>
        <v/>
      </c>
      <c r="F141" s="993">
        <f>COUNTIF($G$109:G141,1)</f>
        <v>4</v>
      </c>
      <c r="G141" s="983">
        <f>IF(OR_Eingabe!M22=1,0,R141)</f>
        <v>0</v>
      </c>
      <c r="H141" s="683">
        <v>213</v>
      </c>
      <c r="I141" s="683">
        <v>11</v>
      </c>
      <c r="J141" s="2018" t="s">
        <v>4188</v>
      </c>
      <c r="K141" s="2018"/>
      <c r="L141" s="2018"/>
      <c r="M141" s="2018"/>
      <c r="N141" s="2018"/>
      <c r="O141" s="2012" t="s">
        <v>4189</v>
      </c>
      <c r="P141" s="2012"/>
      <c r="Q141" s="2012"/>
      <c r="R141" s="910">
        <f>IF(Kulturen!H479="Reben",1,0)</f>
        <v>0</v>
      </c>
      <c r="S141" s="1556" t="s">
        <v>4234</v>
      </c>
    </row>
    <row r="142" spans="1:19" ht="38.1" customHeight="1" x14ac:dyDescent="0.2">
      <c r="C142" s="926"/>
      <c r="D142" s="976">
        <v>33</v>
      </c>
      <c r="E142" s="989" t="str">
        <f t="shared" ref="E142:E146" si="7">IF(F142&gt;F141,F142,"")</f>
        <v/>
      </c>
      <c r="F142" s="993">
        <f>COUNTIF($G$109:G142,1)</f>
        <v>4</v>
      </c>
      <c r="G142" s="983">
        <f>IF(OR_Eingabe!M22=1,0,R142)</f>
        <v>0</v>
      </c>
      <c r="H142" s="683">
        <v>205</v>
      </c>
      <c r="I142" s="683">
        <v>12</v>
      </c>
      <c r="J142" s="2018" t="s">
        <v>4231</v>
      </c>
      <c r="K142" s="2018"/>
      <c r="L142" s="2018"/>
      <c r="M142" s="2018"/>
      <c r="N142" s="2018"/>
      <c r="O142" s="2012" t="s">
        <v>4432</v>
      </c>
      <c r="P142" s="2012"/>
      <c r="Q142" s="2012"/>
      <c r="R142" s="910">
        <f>IF(Kulturen!H676&lt;0,1,0)</f>
        <v>0</v>
      </c>
      <c r="S142" s="1556"/>
    </row>
    <row r="143" spans="1:19" ht="38.85" customHeight="1" x14ac:dyDescent="0.2">
      <c r="C143" s="926"/>
      <c r="D143" s="976">
        <v>34</v>
      </c>
      <c r="E143" s="989" t="str">
        <f t="shared" si="7"/>
        <v/>
      </c>
      <c r="F143" s="993">
        <f>COUNTIF($G$109:G143,1)</f>
        <v>4</v>
      </c>
      <c r="G143" s="983">
        <f>IF(OR_Eingabe!M22=1,0,R143)</f>
        <v>0</v>
      </c>
      <c r="H143" s="683">
        <v>208</v>
      </c>
      <c r="I143" s="683">
        <v>13</v>
      </c>
      <c r="J143" s="2018" t="s">
        <v>4232</v>
      </c>
      <c r="K143" s="2018"/>
      <c r="L143" s="2018"/>
      <c r="M143" s="2018"/>
      <c r="N143" s="2018"/>
      <c r="O143" s="2012" t="s">
        <v>4432</v>
      </c>
      <c r="P143" s="2012"/>
      <c r="Q143" s="2012"/>
      <c r="R143" s="910">
        <f>IF(Kulturen!H677&lt;0,1,0)</f>
        <v>0</v>
      </c>
      <c r="S143" s="1556"/>
    </row>
    <row r="144" spans="1:19" ht="39.4" customHeight="1" x14ac:dyDescent="0.2">
      <c r="C144" s="926"/>
      <c r="D144" s="976">
        <v>35</v>
      </c>
      <c r="E144" s="989" t="str">
        <f t="shared" si="7"/>
        <v/>
      </c>
      <c r="F144" s="993">
        <f>COUNTIF($G$109:G144,1)</f>
        <v>4</v>
      </c>
      <c r="G144" s="983">
        <f>IF(OR_Eingabe!M22=1,0,R144)</f>
        <v>0</v>
      </c>
      <c r="H144" s="683">
        <v>211</v>
      </c>
      <c r="I144" s="683">
        <v>14</v>
      </c>
      <c r="J144" s="2018" t="s">
        <v>4233</v>
      </c>
      <c r="K144" s="2018"/>
      <c r="L144" s="2018"/>
      <c r="M144" s="2018"/>
      <c r="N144" s="2018"/>
      <c r="O144" s="2012" t="s">
        <v>4432</v>
      </c>
      <c r="P144" s="2012"/>
      <c r="Q144" s="2012"/>
      <c r="R144" s="910">
        <f>IF(Kulturen!H678&lt;0,1,0)</f>
        <v>0</v>
      </c>
      <c r="S144" s="1556"/>
    </row>
    <row r="145" spans="3:19" ht="39.4" customHeight="1" x14ac:dyDescent="0.2">
      <c r="C145" s="926"/>
      <c r="D145" s="976">
        <v>36</v>
      </c>
      <c r="E145" s="989" t="str">
        <f t="shared" si="7"/>
        <v/>
      </c>
      <c r="F145" s="993">
        <f>COUNTIF($G$109:G145,1)</f>
        <v>4</v>
      </c>
      <c r="G145" s="983">
        <f>IF(OR_Eingabe!M23=1,0,R145)</f>
        <v>0</v>
      </c>
      <c r="H145" s="1007"/>
      <c r="I145" s="683">
        <v>15</v>
      </c>
      <c r="J145" s="2018" t="s">
        <v>4832</v>
      </c>
      <c r="K145" s="2018"/>
      <c r="L145" s="2018"/>
      <c r="M145" s="2018"/>
      <c r="N145" s="2018"/>
      <c r="O145" s="2012" t="s">
        <v>4833</v>
      </c>
      <c r="P145" s="2012"/>
      <c r="Q145" s="2012"/>
      <c r="R145" s="1753">
        <f>IF(Kulturen!H479="Reben",1,0)</f>
        <v>0</v>
      </c>
      <c r="S145" s="1556"/>
    </row>
    <row r="146" spans="3:19" x14ac:dyDescent="0.2">
      <c r="C146" s="926"/>
      <c r="D146" s="976">
        <v>37</v>
      </c>
      <c r="E146" s="989">
        <f t="shared" si="7"/>
        <v>5</v>
      </c>
      <c r="F146" s="993">
        <f>COUNTIF($G$109:G146,1)</f>
        <v>5</v>
      </c>
      <c r="G146" s="985">
        <v>1</v>
      </c>
      <c r="H146" s="912"/>
      <c r="I146" s="912"/>
      <c r="J146" s="913" t="s">
        <v>4417</v>
      </c>
      <c r="K146" s="914"/>
      <c r="L146" s="914"/>
      <c r="M146" s="914"/>
      <c r="N146" s="914"/>
      <c r="O146" s="915"/>
      <c r="P146" s="915"/>
      <c r="Q146" s="915"/>
      <c r="R146" s="916"/>
      <c r="S146" s="907"/>
    </row>
    <row r="147" spans="3:19" s="599" customFormat="1" x14ac:dyDescent="0.2">
      <c r="C147" s="941"/>
      <c r="D147" s="1559">
        <v>37</v>
      </c>
      <c r="E147" s="997">
        <f t="shared" si="5"/>
        <v>6</v>
      </c>
      <c r="F147" s="999">
        <f>COUNTIF($G$109:G147,1)</f>
        <v>6</v>
      </c>
      <c r="G147" s="986">
        <v>1</v>
      </c>
      <c r="H147" s="936"/>
      <c r="I147" s="936"/>
      <c r="J147" s="931" t="s">
        <v>4431</v>
      </c>
      <c r="K147" s="933"/>
      <c r="L147" s="933"/>
      <c r="M147" s="933"/>
      <c r="N147" s="933"/>
      <c r="O147" s="930"/>
      <c r="P147" s="930"/>
      <c r="Q147" s="930"/>
      <c r="R147" s="939"/>
      <c r="S147" s="934"/>
    </row>
    <row r="148" spans="3:19" x14ac:dyDescent="0.2">
      <c r="C148" s="926"/>
      <c r="D148" s="976">
        <v>38</v>
      </c>
      <c r="E148" s="989" t="str">
        <f t="shared" si="5"/>
        <v/>
      </c>
      <c r="F148" s="993">
        <f>COUNTIF($G$109:G148,1)</f>
        <v>6</v>
      </c>
      <c r="G148" s="983"/>
      <c r="H148" s="683"/>
      <c r="I148" s="683"/>
      <c r="R148" s="910"/>
      <c r="S148" s="907"/>
    </row>
    <row r="149" spans="3:19" ht="32.65" customHeight="1" x14ac:dyDescent="0.2">
      <c r="C149" s="926"/>
      <c r="D149" s="1560">
        <v>39</v>
      </c>
      <c r="E149" s="991">
        <f t="shared" si="5"/>
        <v>7</v>
      </c>
      <c r="F149" s="988">
        <f>COUNTIF($G$109:G149,1)</f>
        <v>7</v>
      </c>
      <c r="G149" s="985">
        <f>$R$149</f>
        <v>1</v>
      </c>
      <c r="H149" s="912">
        <v>212</v>
      </c>
      <c r="I149" s="912">
        <v>1</v>
      </c>
      <c r="J149" s="2036" t="s">
        <v>4185</v>
      </c>
      <c r="K149" s="2036"/>
      <c r="L149" s="2036"/>
      <c r="M149" s="2036"/>
      <c r="N149" s="2036"/>
      <c r="O149" s="2035" t="s">
        <v>4186</v>
      </c>
      <c r="P149" s="2035"/>
      <c r="Q149" s="2035"/>
      <c r="R149" s="916">
        <f>IF(OR_Eingabe!$C$35=0,1,0)</f>
        <v>1</v>
      </c>
      <c r="S149" s="1556"/>
    </row>
    <row r="150" spans="3:19" x14ac:dyDescent="0.2">
      <c r="D150" s="918"/>
      <c r="E150" s="838"/>
      <c r="F150" s="972"/>
      <c r="G150" s="918"/>
      <c r="H150" s="909"/>
      <c r="I150" s="909"/>
      <c r="J150" s="924"/>
      <c r="K150" s="927"/>
      <c r="L150" s="927"/>
      <c r="M150" s="927"/>
      <c r="N150" s="927"/>
      <c r="O150" s="918"/>
      <c r="P150" s="918"/>
      <c r="Q150" s="918"/>
      <c r="R150" s="1064">
        <f>IFERROR(SUM(R131:R149),1)</f>
        <v>9</v>
      </c>
      <c r="S150" s="1056" t="s">
        <v>4567</v>
      </c>
    </row>
    <row r="151" spans="3:19" x14ac:dyDescent="0.2">
      <c r="H151" s="683"/>
      <c r="I151" s="683"/>
    </row>
    <row r="152" spans="3:19" x14ac:dyDescent="0.2">
      <c r="H152" s="683"/>
      <c r="I152" s="683"/>
    </row>
    <row r="153" spans="3:19" x14ac:dyDescent="0.2">
      <c r="H153" s="683"/>
      <c r="I153" s="683"/>
    </row>
    <row r="154" spans="3:19" x14ac:dyDescent="0.2">
      <c r="H154" s="683"/>
      <c r="I154" s="683"/>
    </row>
    <row r="155" spans="3:19" x14ac:dyDescent="0.2">
      <c r="H155" s="683"/>
      <c r="I155" s="683"/>
    </row>
    <row r="156" spans="3:19" x14ac:dyDescent="0.2">
      <c r="H156" s="683"/>
      <c r="I156" s="683"/>
    </row>
    <row r="157" spans="3:19" x14ac:dyDescent="0.2">
      <c r="H157" s="683"/>
      <c r="I157" s="683"/>
    </row>
    <row r="158" spans="3:19" x14ac:dyDescent="0.2">
      <c r="H158" s="683"/>
      <c r="I158" s="683"/>
    </row>
    <row r="159" spans="3:19" x14ac:dyDescent="0.2">
      <c r="H159" s="683"/>
      <c r="I159" s="683"/>
    </row>
    <row r="160" spans="3:19" x14ac:dyDescent="0.2">
      <c r="H160" s="683"/>
      <c r="I160" s="683"/>
    </row>
    <row r="161" spans="8:9" x14ac:dyDescent="0.2">
      <c r="H161" s="683"/>
      <c r="I161" s="683"/>
    </row>
    <row r="162" spans="8:9" x14ac:dyDescent="0.2">
      <c r="H162" s="683"/>
      <c r="I162" s="683"/>
    </row>
    <row r="163" spans="8:9" x14ac:dyDescent="0.2">
      <c r="H163" s="683"/>
      <c r="I163" s="683"/>
    </row>
    <row r="164" spans="8:9" x14ac:dyDescent="0.2">
      <c r="H164" s="683"/>
      <c r="I164" s="683"/>
    </row>
    <row r="165" spans="8:9" x14ac:dyDescent="0.2">
      <c r="H165" s="683"/>
      <c r="I165" s="683"/>
    </row>
    <row r="166" spans="8:9" x14ac:dyDescent="0.2">
      <c r="H166" s="683"/>
      <c r="I166" s="683"/>
    </row>
    <row r="167" spans="8:9" x14ac:dyDescent="0.2">
      <c r="H167" s="683"/>
      <c r="I167" s="683"/>
    </row>
    <row r="168" spans="8:9" x14ac:dyDescent="0.2">
      <c r="H168" s="683"/>
      <c r="I168" s="683"/>
    </row>
    <row r="169" spans="8:9" x14ac:dyDescent="0.2">
      <c r="H169" s="683"/>
      <c r="I169" s="683"/>
    </row>
    <row r="170" spans="8:9" x14ac:dyDescent="0.2">
      <c r="H170" s="683"/>
      <c r="I170" s="683"/>
    </row>
    <row r="171" spans="8:9" x14ac:dyDescent="0.2">
      <c r="H171" s="683"/>
      <c r="I171" s="683"/>
    </row>
    <row r="172" spans="8:9" x14ac:dyDescent="0.2">
      <c r="H172" s="683"/>
      <c r="I172" s="683"/>
    </row>
    <row r="173" spans="8:9" x14ac:dyDescent="0.2">
      <c r="H173" s="683"/>
      <c r="I173" s="683"/>
    </row>
    <row r="174" spans="8:9" x14ac:dyDescent="0.2">
      <c r="H174" s="683"/>
      <c r="I174" s="683"/>
    </row>
  </sheetData>
  <sheetProtection password="8677" sheet="1" objects="1" scenarios="1"/>
  <mergeCells count="91">
    <mergeCell ref="J48:N48"/>
    <mergeCell ref="O98:Q98"/>
    <mergeCell ref="O76:Q76"/>
    <mergeCell ref="O99:Q99"/>
    <mergeCell ref="J100:N100"/>
    <mergeCell ref="J64:N64"/>
    <mergeCell ref="J79:N79"/>
    <mergeCell ref="O79:Q79"/>
    <mergeCell ref="J78:N78"/>
    <mergeCell ref="O78:Q78"/>
    <mergeCell ref="O77:Q77"/>
    <mergeCell ref="O100:Q100"/>
    <mergeCell ref="O93:Q93"/>
    <mergeCell ref="O97:Q97"/>
    <mergeCell ref="O94:Q94"/>
    <mergeCell ref="O101:Q101"/>
    <mergeCell ref="O25:Q25"/>
    <mergeCell ref="O63:Q63"/>
    <mergeCell ref="O66:Q66"/>
    <mergeCell ref="O60:Q60"/>
    <mergeCell ref="O49:Q49"/>
    <mergeCell ref="O57:Q57"/>
    <mergeCell ref="O55:Q55"/>
    <mergeCell ref="O62:Q62"/>
    <mergeCell ref="O61:Q61"/>
    <mergeCell ref="O34:Q34"/>
    <mergeCell ref="O46:Q46"/>
    <mergeCell ref="O64:Q64"/>
    <mergeCell ref="O149:Q149"/>
    <mergeCell ref="J149:N149"/>
    <mergeCell ref="O107:Q107"/>
    <mergeCell ref="O104:Q104"/>
    <mergeCell ref="J103:N103"/>
    <mergeCell ref="O103:Q103"/>
    <mergeCell ref="J142:N142"/>
    <mergeCell ref="O142:Q142"/>
    <mergeCell ref="J143:N143"/>
    <mergeCell ref="J144:N144"/>
    <mergeCell ref="O143:Q143"/>
    <mergeCell ref="O132:Q132"/>
    <mergeCell ref="O144:Q144"/>
    <mergeCell ref="J145:N145"/>
    <mergeCell ref="O145:Q145"/>
    <mergeCell ref="O24:Q24"/>
    <mergeCell ref="J34:N34"/>
    <mergeCell ref="J67:N67"/>
    <mergeCell ref="O67:Q67"/>
    <mergeCell ref="G11:G15"/>
    <mergeCell ref="O47:Q47"/>
    <mergeCell ref="O65:Q65"/>
    <mergeCell ref="J28:N28"/>
    <mergeCell ref="O28:Q28"/>
    <mergeCell ref="O30:Q30"/>
    <mergeCell ref="J61:N61"/>
    <mergeCell ref="O56:Q56"/>
    <mergeCell ref="O51:Q51"/>
    <mergeCell ref="J45:N45"/>
    <mergeCell ref="O45:Q45"/>
    <mergeCell ref="J46:N46"/>
    <mergeCell ref="D11:D15"/>
    <mergeCell ref="J141:N141"/>
    <mergeCell ref="J107:N107"/>
    <mergeCell ref="J49:N49"/>
    <mergeCell ref="J92:N92"/>
    <mergeCell ref="J114:N114"/>
    <mergeCell ref="J115:N115"/>
    <mergeCell ref="J131:N131"/>
    <mergeCell ref="J59:N59"/>
    <mergeCell ref="J96:N96"/>
    <mergeCell ref="J136:N136"/>
    <mergeCell ref="J77:N77"/>
    <mergeCell ref="J60:N60"/>
    <mergeCell ref="J71:N71"/>
    <mergeCell ref="E11:E15"/>
    <mergeCell ref="J97:N97"/>
    <mergeCell ref="F11:F15"/>
    <mergeCell ref="O141:Q141"/>
    <mergeCell ref="O59:Q59"/>
    <mergeCell ref="O96:Q96"/>
    <mergeCell ref="O136:Q136"/>
    <mergeCell ref="O95:Q95"/>
    <mergeCell ref="O134:Q134"/>
    <mergeCell ref="O133:Q133"/>
    <mergeCell ref="O138:Q138"/>
    <mergeCell ref="O140:Q140"/>
    <mergeCell ref="O92:Q92"/>
    <mergeCell ref="O139:Q139"/>
    <mergeCell ref="O137:Q137"/>
    <mergeCell ref="O71:Q71"/>
    <mergeCell ref="O102:Q102"/>
    <mergeCell ref="J47:N47"/>
  </mergeCells>
  <pageMargins left="0.25" right="0.25" top="0.75" bottom="0.75" header="0.3" footer="0.3"/>
  <pageSetup paperSize="9" scale="40" fitToHeight="0"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5" tint="0.59999389629810485"/>
  </sheetPr>
  <dimension ref="B1:AK174"/>
  <sheetViews>
    <sheetView zoomScaleNormal="100" workbookViewId="0">
      <pane xSplit="1" ySplit="10" topLeftCell="B83" activePane="bottomRight" state="frozen"/>
      <selection activeCell="A173" sqref="A173"/>
      <selection pane="topRight" activeCell="A173" sqref="A173"/>
      <selection pane="bottomLeft" activeCell="A173" sqref="A173"/>
      <selection pane="bottomRight" activeCell="A173" sqref="A173"/>
    </sheetView>
  </sheetViews>
  <sheetFormatPr baseColWidth="10" defaultColWidth="11.5" defaultRowHeight="12.75" x14ac:dyDescent="0.2"/>
  <cols>
    <col min="1" max="1" width="3.375" style="76" customWidth="1"/>
    <col min="2" max="2" width="44.25" style="77" customWidth="1"/>
    <col min="3" max="3" width="34.5" style="77" customWidth="1"/>
    <col min="4" max="4" width="16.5" style="222" customWidth="1"/>
    <col min="5" max="16384" width="11.5" style="76"/>
  </cols>
  <sheetData>
    <row r="1" spans="2:37" s="651" customFormat="1" ht="31.7" customHeight="1" x14ac:dyDescent="0.25">
      <c r="B1" s="652" t="str">
        <f>Startmenue!G2</f>
        <v>Version 1.2</v>
      </c>
      <c r="C1" s="653"/>
      <c r="G1" s="653"/>
      <c r="U1" s="653"/>
      <c r="Z1" s="654"/>
      <c r="AE1" s="653"/>
      <c r="AJ1" s="653"/>
      <c r="AK1" s="655"/>
    </row>
    <row r="2" spans="2:37" ht="13.7" x14ac:dyDescent="0.2">
      <c r="B2" s="1440" t="s">
        <v>4368</v>
      </c>
      <c r="C2" s="1440" t="s">
        <v>4416</v>
      </c>
    </row>
    <row r="3" spans="2:37" ht="14.25" x14ac:dyDescent="0.2">
      <c r="B3" s="1440" t="s">
        <v>50</v>
      </c>
      <c r="C3" s="1439" t="s">
        <v>4211</v>
      </c>
    </row>
    <row r="4" spans="2:37" ht="14.25" x14ac:dyDescent="0.2">
      <c r="B4" s="1441"/>
      <c r="C4" s="1439" t="s">
        <v>4212</v>
      </c>
    </row>
    <row r="8" spans="2:37" ht="13.7" x14ac:dyDescent="0.2">
      <c r="B8" s="77" t="s">
        <v>49</v>
      </c>
    </row>
    <row r="9" spans="2:37" ht="13.7" x14ac:dyDescent="0.2">
      <c r="B9" s="77" t="s">
        <v>4207</v>
      </c>
      <c r="C9" s="77" t="s">
        <v>4210</v>
      </c>
      <c r="D9" s="222" t="s">
        <v>4213</v>
      </c>
    </row>
    <row r="11" spans="2:37" ht="13.7" x14ac:dyDescent="0.2">
      <c r="B11" s="201" t="str">
        <f>AB_Eingabe!C4</f>
        <v>Düngebedarfsberechnung Ackerbau</v>
      </c>
      <c r="E11" s="200"/>
    </row>
    <row r="12" spans="2:37" ht="13.7" x14ac:dyDescent="0.2">
      <c r="E12" s="82"/>
    </row>
    <row r="13" spans="2:37" ht="13.7" x14ac:dyDescent="0.2">
      <c r="B13" s="77" t="str">
        <f>AB_Eingabe!C12</f>
        <v>Nach-/Vorname</v>
      </c>
      <c r="C13" s="77">
        <f>AB_Eingabe!E12</f>
        <v>0</v>
      </c>
      <c r="E13" s="82"/>
    </row>
    <row r="14" spans="2:37" ht="13.7" x14ac:dyDescent="0.2">
      <c r="B14" s="77" t="str">
        <f>AB_Eingabe!G12</f>
        <v>Adresse</v>
      </c>
      <c r="C14" s="77">
        <f>AB_Eingabe!H12</f>
        <v>0</v>
      </c>
      <c r="E14" s="82"/>
    </row>
    <row r="15" spans="2:37" ht="13.7" x14ac:dyDescent="0.2">
      <c r="B15" s="77" t="str">
        <f>AB_Eingabe!C13</f>
        <v>Betriebs-Nr.</v>
      </c>
      <c r="C15" s="77">
        <f>AB_Eingabe!E13</f>
        <v>0</v>
      </c>
      <c r="E15" s="82"/>
    </row>
    <row r="16" spans="2:37" ht="13.7" x14ac:dyDescent="0.2">
      <c r="B16" s="77" t="str">
        <f>AB_Eingabe!G14</f>
        <v>Dienstbezirk:</v>
      </c>
      <c r="C16" s="77">
        <f>AB_Eingabe!I14</f>
        <v>0</v>
      </c>
      <c r="E16" s="82"/>
    </row>
    <row r="17" spans="2:5" ht="13.7" x14ac:dyDescent="0.2">
      <c r="B17" s="77" t="str">
        <f>AB_Eingabe!C14</f>
        <v>Schlagname/-Nr.</v>
      </c>
      <c r="C17" s="77">
        <f>AB_Eingabe!E14</f>
        <v>0</v>
      </c>
      <c r="E17" s="82"/>
    </row>
    <row r="18" spans="2:5" ht="13.7" x14ac:dyDescent="0.2">
      <c r="C18" s="205"/>
      <c r="D18" s="223"/>
      <c r="E18" s="82"/>
    </row>
    <row r="19" spans="2:5" ht="13.7" x14ac:dyDescent="0.2">
      <c r="B19" s="77" t="str">
        <f>AB_Eingabe!C15</f>
        <v>Flurstücks-Nr.</v>
      </c>
      <c r="C19" s="77">
        <f>AB_Eingabe!E15</f>
        <v>0</v>
      </c>
      <c r="E19" s="82"/>
    </row>
    <row r="20" spans="2:5" x14ac:dyDescent="0.2">
      <c r="B20" s="77" t="str">
        <f>AB_Eingabe!G16</f>
        <v>Gemarkung:***</v>
      </c>
      <c r="C20" s="77">
        <f>AB_Eingabe!H16</f>
        <v>0</v>
      </c>
      <c r="E20" s="82"/>
    </row>
    <row r="21" spans="2:5" x14ac:dyDescent="0.2">
      <c r="B21" s="77" t="str">
        <f>AB_Eingabe!C16</f>
        <v>Schlaggröße [ha]</v>
      </c>
      <c r="C21" s="78">
        <f>AB_Eingabe!E16</f>
        <v>0</v>
      </c>
      <c r="E21" s="82"/>
    </row>
    <row r="22" spans="2:5" x14ac:dyDescent="0.2">
      <c r="E22" s="82"/>
    </row>
    <row r="23" spans="2:5" x14ac:dyDescent="0.2">
      <c r="B23" s="77" t="str">
        <f>AB_Eingabe!C21</f>
        <v>Hauptfrucht *</v>
      </c>
      <c r="C23" s="205">
        <f>AB_Eingabe!M21</f>
        <v>1</v>
      </c>
      <c r="D23" s="223">
        <v>1</v>
      </c>
      <c r="E23" s="82"/>
    </row>
    <row r="24" spans="2:5" x14ac:dyDescent="0.2">
      <c r="B24" s="77" t="s">
        <v>4768</v>
      </c>
      <c r="C24" s="205">
        <f>AB_Eingabe!M23</f>
        <v>1</v>
      </c>
      <c r="D24" s="223">
        <v>1</v>
      </c>
      <c r="E24" s="82"/>
    </row>
    <row r="25" spans="2:5" x14ac:dyDescent="0.2">
      <c r="B25" s="77" t="str">
        <f>AB_Eingabe!I21</f>
        <v>Planjahr</v>
      </c>
      <c r="C25" s="206">
        <f>AB_Eingabe!J21</f>
        <v>0</v>
      </c>
      <c r="E25" s="82"/>
    </row>
    <row r="26" spans="2:5" x14ac:dyDescent="0.2">
      <c r="B26" s="77" t="str">
        <f>AB_Eingabe!C25</f>
        <v>Ertrag [dt/ha] *</v>
      </c>
      <c r="E26" s="82"/>
    </row>
    <row r="27" spans="2:5" ht="14.25" x14ac:dyDescent="0.2">
      <c r="B27" s="77" t="str">
        <f>AB_Eingabe!C26</f>
        <v>letztes Jahr</v>
      </c>
      <c r="C27" s="78" t="str">
        <f>AB_Eingabe!J26</f>
        <v/>
      </c>
      <c r="E27" s="200" t="s">
        <v>4208</v>
      </c>
    </row>
    <row r="28" spans="2:5" ht="14.25" x14ac:dyDescent="0.2">
      <c r="B28" s="77" t="str">
        <f>AB_Eingabe!C27</f>
        <v>vor 2 Jahren</v>
      </c>
      <c r="C28" s="78" t="str">
        <f>AB_Eingabe!J27</f>
        <v/>
      </c>
      <c r="E28" s="200" t="s">
        <v>4208</v>
      </c>
    </row>
    <row r="29" spans="2:5" ht="14.25" x14ac:dyDescent="0.2">
      <c r="B29" s="77" t="str">
        <f>AB_Eingabe!C28</f>
        <v xml:space="preserve">vor 3 Jahren </v>
      </c>
      <c r="C29" s="78" t="str">
        <f>AB_Eingabe!J28</f>
        <v/>
      </c>
      <c r="E29" s="200" t="s">
        <v>4208</v>
      </c>
    </row>
    <row r="30" spans="2:5" x14ac:dyDescent="0.2">
      <c r="B30" s="77" t="str">
        <f>AB_Eingabe!C29</f>
        <v>vor 4 Jahren</v>
      </c>
      <c r="C30" s="78">
        <f>AB_Eingabe!D29</f>
        <v>0</v>
      </c>
    </row>
    <row r="31" spans="2:5" x14ac:dyDescent="0.2">
      <c r="B31" s="77" t="str">
        <f>AB_Eingabe!C31</f>
        <v>Alternative Ertragseingabe</v>
      </c>
      <c r="C31" s="78">
        <f>AB_Eingabe!J31</f>
        <v>0</v>
      </c>
    </row>
    <row r="33" spans="2:4" x14ac:dyDescent="0.2">
      <c r="B33" s="77" t="str">
        <f>AB_Eingabe!C33</f>
        <v xml:space="preserve">verfügbare N-Menge im Boden (Nmin, Nitrat-N) </v>
      </c>
    </row>
    <row r="34" spans="2:4" x14ac:dyDescent="0.2">
      <c r="B34" s="77" t="str">
        <f>AB_Eingabe!C35</f>
        <v>Referenz- oder Eigenanalysewert [kg N/ha] *</v>
      </c>
      <c r="C34" s="78">
        <f>AB_Eingabe!G35</f>
        <v>0</v>
      </c>
    </row>
    <row r="36" spans="2:4" x14ac:dyDescent="0.2">
      <c r="B36" s="77" t="str">
        <f>AB_Eingabe!C39</f>
        <v>Bodenart ***</v>
      </c>
      <c r="C36" s="205">
        <f>AB_Eingabe!M40</f>
        <v>4</v>
      </c>
      <c r="D36" s="223">
        <v>4</v>
      </c>
    </row>
    <row r="37" spans="2:4" x14ac:dyDescent="0.2">
      <c r="B37" s="77" t="str">
        <f>AB_Eingabe!C41</f>
        <v>Ackerzahl</v>
      </c>
      <c r="C37" s="205">
        <f>AB_Eingabe!M41</f>
        <v>2</v>
      </c>
      <c r="D37" s="223">
        <v>2</v>
      </c>
    </row>
    <row r="38" spans="2:4" x14ac:dyDescent="0.2">
      <c r="B38" s="77" t="str">
        <f>AB_Eingabe!E41</f>
        <v>Humusgehalt *</v>
      </c>
      <c r="C38" s="204">
        <f>AB_Eingabe!E42</f>
        <v>0</v>
      </c>
    </row>
    <row r="39" spans="2:4" x14ac:dyDescent="0.2">
      <c r="B39" s="77" t="str">
        <f>AB_Eingabe!F41</f>
        <v>pH-Wert</v>
      </c>
      <c r="C39" s="205">
        <f>AB_Eingabe!M42</f>
        <v>31</v>
      </c>
      <c r="D39" s="223">
        <v>31</v>
      </c>
    </row>
    <row r="40" spans="2:4" x14ac:dyDescent="0.2">
      <c r="B40" s="77" t="str">
        <f>AB_Eingabe!H40</f>
        <v>Bodengehaltswert [mg CAL bzw. CaCl2/100g Boden] ***</v>
      </c>
    </row>
    <row r="41" spans="2:4" x14ac:dyDescent="0.2">
      <c r="B41" s="77" t="str">
        <f>AB_Eingabe!H41</f>
        <v>P2O5</v>
      </c>
      <c r="C41" s="78">
        <f>AB_Eingabe!H42</f>
        <v>0</v>
      </c>
    </row>
    <row r="42" spans="2:4" x14ac:dyDescent="0.2">
      <c r="B42" s="77" t="str">
        <f>AB_Eingabe!I41</f>
        <v>K2O</v>
      </c>
      <c r="C42" s="78">
        <f>AB_Eingabe!I42</f>
        <v>0</v>
      </c>
    </row>
    <row r="43" spans="2:4" x14ac:dyDescent="0.2">
      <c r="B43" s="77" t="str">
        <f>AB_Eingabe!J41</f>
        <v>Mg</v>
      </c>
      <c r="C43" s="78">
        <f>AB_Eingabe!J42</f>
        <v>0</v>
      </c>
    </row>
    <row r="45" spans="2:4" x14ac:dyDescent="0.2">
      <c r="B45" s="77" t="str">
        <f>AB_Eingabe!C46</f>
        <v>organische Düngung im Vorjahr</v>
      </c>
      <c r="C45" s="84"/>
    </row>
    <row r="46" spans="2:4" x14ac:dyDescent="0.2">
      <c r="B46" s="77" t="str">
        <f>AB_Eingabe!C47</f>
        <v>Düngemittel *</v>
      </c>
      <c r="C46" s="205">
        <f>AB_Eingabe!M49</f>
        <v>1</v>
      </c>
      <c r="D46" s="223">
        <v>1</v>
      </c>
    </row>
    <row r="47" spans="2:4" x14ac:dyDescent="0.2">
      <c r="B47" s="77" t="str">
        <f>AB_Eingabe!H47</f>
        <v>flüssiger WD [m³/ha], fester WD [t/ha] *</v>
      </c>
      <c r="C47" s="78">
        <f>AB_Eingabe!H48</f>
        <v>0</v>
      </c>
    </row>
    <row r="48" spans="2:4" x14ac:dyDescent="0.2">
      <c r="B48" s="77" t="str">
        <f>AB_Eingabe!J47</f>
        <v>Eigenanalyse [kg N/m³, t]</v>
      </c>
      <c r="C48" s="78">
        <f>AB_Eingabe!J48</f>
        <v>0</v>
      </c>
    </row>
    <row r="49" spans="2:4" x14ac:dyDescent="0.2">
      <c r="B49" s="77" t="str">
        <f>AB_Eingabe!C50</f>
        <v>weitere organische Düngung im Vorjahr</v>
      </c>
    </row>
    <row r="50" spans="2:4" x14ac:dyDescent="0.2">
      <c r="B50" s="77" t="str">
        <f>AB_Eingabe!C51</f>
        <v>Düngemittel *</v>
      </c>
      <c r="C50" s="205">
        <f>AB_Eingabe!M52</f>
        <v>1</v>
      </c>
      <c r="D50" s="223">
        <v>1</v>
      </c>
    </row>
    <row r="51" spans="2:4" x14ac:dyDescent="0.2">
      <c r="B51" s="77" t="str">
        <f>AB_Eingabe!H51</f>
        <v>flüssiger WD [m³/ha], fester WD [t/ha] *</v>
      </c>
      <c r="C51" s="78">
        <f>AB_Eingabe!H52</f>
        <v>0</v>
      </c>
    </row>
    <row r="52" spans="2:4" x14ac:dyDescent="0.2">
      <c r="B52" s="77" t="str">
        <f>AB_Eingabe!J51</f>
        <v>Eigenanalyse [kg N/m³, t]</v>
      </c>
      <c r="C52" s="78">
        <f>AB_Eingabe!J52</f>
        <v>0</v>
      </c>
    </row>
    <row r="53" spans="2:4" x14ac:dyDescent="0.2">
      <c r="B53" s="77" t="str">
        <f>AB_Eingabe!C54</f>
        <v>Düngung mit Kompost in 3 Vorjahren</v>
      </c>
      <c r="C53" s="78"/>
    </row>
    <row r="54" spans="2:4" x14ac:dyDescent="0.2">
      <c r="B54" s="77" t="str">
        <f>AB_Eingabe!C55</f>
        <v>Düngemittel *</v>
      </c>
      <c r="C54" s="205">
        <f>AB_Eingabe!M56</f>
        <v>4</v>
      </c>
      <c r="D54" s="223">
        <v>4</v>
      </c>
    </row>
    <row r="55" spans="2:4" x14ac:dyDescent="0.2">
      <c r="B55" s="77" t="str">
        <f>AB_Eingabe!F54&amp;": "&amp;AB_Eingabe!$H$55</f>
        <v>: fester WD [t/ha] *</v>
      </c>
      <c r="C55" s="78">
        <f>AB_Eingabe!F56</f>
        <v>0</v>
      </c>
    </row>
    <row r="56" spans="2:4" x14ac:dyDescent="0.2">
      <c r="B56" s="77" t="str">
        <f>AB_Eingabe!G54&amp;": "&amp;AB_Eingabe!$H$55</f>
        <v>: fester WD [t/ha] *</v>
      </c>
      <c r="C56" s="78">
        <f>AB_Eingabe!G56</f>
        <v>0</v>
      </c>
    </row>
    <row r="57" spans="2:4" x14ac:dyDescent="0.2">
      <c r="B57" s="77" t="str">
        <f>AB_Eingabe!H54&amp;": "&amp;AB_Eingabe!$H$55</f>
        <v>: fester WD [t/ha] *</v>
      </c>
      <c r="C57" s="78">
        <f>AB_Eingabe!H56</f>
        <v>0</v>
      </c>
    </row>
    <row r="58" spans="2:4" x14ac:dyDescent="0.2">
      <c r="B58" s="77" t="str">
        <f>AB_Eingabe!J55</f>
        <v>Eigenanalyse [kg N/t]</v>
      </c>
      <c r="C58" s="78">
        <f>AB_Eingabe!J56</f>
        <v>0</v>
      </c>
    </row>
    <row r="60" spans="2:4" x14ac:dyDescent="0.2">
      <c r="B60" s="77" t="str">
        <f>AB_Eingabe!C60</f>
        <v>Vorfrucht *</v>
      </c>
      <c r="C60" s="205">
        <f>AB_Eingabe!M60</f>
        <v>1</v>
      </c>
      <c r="D60" s="223">
        <v>1</v>
      </c>
    </row>
    <row r="61" spans="2:4" x14ac:dyDescent="0.2">
      <c r="B61" s="77" t="str">
        <f>AB_Eingabe!C62</f>
        <v>Zwischenfrucht *</v>
      </c>
      <c r="C61" s="205">
        <f>AB_Eingabe!M61</f>
        <v>2</v>
      </c>
      <c r="D61" s="223">
        <v>1</v>
      </c>
    </row>
    <row r="62" spans="2:4" x14ac:dyDescent="0.2">
      <c r="B62" s="77" t="str">
        <f>AB_Eingabe!G60</f>
        <v>Erntereste der Vorfrucht abgefahren</v>
      </c>
      <c r="C62" s="205">
        <f>AB_Eingabe!M62</f>
        <v>2</v>
      </c>
      <c r="D62" s="223">
        <v>1</v>
      </c>
    </row>
    <row r="63" spans="2:4" x14ac:dyDescent="0.2">
      <c r="C63" s="205"/>
      <c r="D63" s="223"/>
    </row>
    <row r="64" spans="2:4" x14ac:dyDescent="0.2">
      <c r="B64" s="77" t="str">
        <f>AB_Eingabe!C64</f>
        <v>mineralische/organische Düngung nach Ernte der Vorfrucht</v>
      </c>
      <c r="C64" s="205">
        <f>AB_Eingabe!M64</f>
        <v>1</v>
      </c>
      <c r="D64" s="223">
        <v>1</v>
      </c>
    </row>
    <row r="66" spans="2:4" x14ac:dyDescent="0.2">
      <c r="B66" s="77" t="str">
        <f>AB_Eingabe!C68</f>
        <v xml:space="preserve">Empfehlung ** </v>
      </c>
      <c r="C66" s="205">
        <f>AB_Eingabe!M68</f>
        <v>2</v>
      </c>
      <c r="D66" s="223">
        <v>1</v>
      </c>
    </row>
    <row r="67" spans="2:4" x14ac:dyDescent="0.2">
      <c r="B67" s="77" t="str">
        <f>AB_Eingabe!C70</f>
        <v>bereits ausgebrachte N-Düngung (späte Nmin bei Mais)</v>
      </c>
    </row>
    <row r="68" spans="2:4" x14ac:dyDescent="0.2">
      <c r="B68" s="77" t="str">
        <f>AB_Eingabe!C71</f>
        <v>Düngemittel **</v>
      </c>
      <c r="C68" s="205">
        <f>AB_Eingabe!M72</f>
        <v>1</v>
      </c>
      <c r="D68" s="223">
        <v>1</v>
      </c>
    </row>
    <row r="69" spans="2:4" x14ac:dyDescent="0.2">
      <c r="B69" s="77" t="str">
        <f>AB_Eingabe!J71</f>
        <v xml:space="preserve">Mineraldünger [kg N/ha] **  </v>
      </c>
      <c r="C69" s="78">
        <f>AB_Eingabe!J72</f>
        <v>0</v>
      </c>
    </row>
    <row r="70" spans="2:4" x14ac:dyDescent="0.2">
      <c r="B70" s="77" t="str">
        <f>AB_Eingabe!F71</f>
        <v>flüssiger WD [m³/ha], fester WD [t/ha] **</v>
      </c>
      <c r="C70" s="78">
        <f>AB_Eingabe!F72</f>
        <v>0</v>
      </c>
    </row>
    <row r="71" spans="2:4" x14ac:dyDescent="0.2">
      <c r="B71" s="77" t="str">
        <f>AB_Eingabe!H71</f>
        <v>Eigenanalyse [kg N/m³, t]</v>
      </c>
      <c r="C71" s="78">
        <f>AB_Eingabe!H72</f>
        <v>0</v>
      </c>
    </row>
    <row r="75" spans="2:4" x14ac:dyDescent="0.2">
      <c r="B75" s="202" t="str">
        <f>GL_Eingabe!C4</f>
        <v>Düngebedarfsberechnung (Dauer-)Grünland und mehrschnitt. Feldfutterbau</v>
      </c>
    </row>
    <row r="77" spans="2:4" x14ac:dyDescent="0.2">
      <c r="B77" s="77" t="str">
        <f>GL_Eingabe!C12</f>
        <v>Nach-/Vorname</v>
      </c>
      <c r="C77" s="77">
        <f>GL_Eingabe!E12</f>
        <v>0</v>
      </c>
    </row>
    <row r="78" spans="2:4" x14ac:dyDescent="0.2">
      <c r="B78" s="77" t="str">
        <f>GL_Eingabe!G12</f>
        <v>Adresse</v>
      </c>
      <c r="C78" s="77">
        <f>GL_Eingabe!H12</f>
        <v>0</v>
      </c>
    </row>
    <row r="79" spans="2:4" x14ac:dyDescent="0.2">
      <c r="B79" s="77" t="str">
        <f>GL_Eingabe!C13</f>
        <v>Betriebs-Nr.</v>
      </c>
      <c r="C79" s="77">
        <f>GL_Eingabe!E13</f>
        <v>0</v>
      </c>
    </row>
    <row r="80" spans="2:4" x14ac:dyDescent="0.2">
      <c r="B80" s="77" t="str">
        <f>GL_Eingabe!G14</f>
        <v>Dienstbezirk</v>
      </c>
      <c r="C80" s="77">
        <f>GL_Eingabe!I14</f>
        <v>0</v>
      </c>
    </row>
    <row r="81" spans="2:5" x14ac:dyDescent="0.2">
      <c r="B81" s="77" t="str">
        <f>GL_Eingabe!C14</f>
        <v>Schlagname/-Nr.</v>
      </c>
      <c r="C81" s="77">
        <f>GL_Eingabe!E14</f>
        <v>0</v>
      </c>
    </row>
    <row r="82" spans="2:5" x14ac:dyDescent="0.2">
      <c r="B82" s="77" t="str">
        <f>GL_Eingabe!G16</f>
        <v>Gemarkung:</v>
      </c>
      <c r="C82" s="206">
        <f>GL_Eingabe!I16</f>
        <v>0</v>
      </c>
      <c r="D82" s="223"/>
    </row>
    <row r="83" spans="2:5" x14ac:dyDescent="0.2">
      <c r="B83" s="77" t="str">
        <f>GL_Eingabe!C16</f>
        <v>Flurstücks-Nr.</v>
      </c>
      <c r="C83" s="77">
        <f>GL_Eingabe!E16</f>
        <v>0</v>
      </c>
    </row>
    <row r="84" spans="2:5" x14ac:dyDescent="0.2">
      <c r="B84" s="77" t="str">
        <f>GL_Eingabe!G17</f>
        <v>Vergleichsgebiet-Nr.</v>
      </c>
      <c r="C84" s="77" t="str">
        <f ca="1">GL_Eingabe!I17</f>
        <v>Gemeinde und Gemarkung auswählen!</v>
      </c>
    </row>
    <row r="85" spans="2:5" x14ac:dyDescent="0.2">
      <c r="B85" s="77" t="str">
        <f>GL_Eingabe!C17</f>
        <v>Schlaggröße [ha]</v>
      </c>
      <c r="C85" s="78">
        <f>GL_Eingabe!E17</f>
        <v>0</v>
      </c>
    </row>
    <row r="87" spans="2:5" x14ac:dyDescent="0.2">
      <c r="B87" s="77" t="str">
        <f>GL_Eingabe!C21</f>
        <v>Hauptfrucht *</v>
      </c>
      <c r="C87" s="205">
        <f>GL_Eingabe!M21</f>
        <v>1</v>
      </c>
      <c r="D87" s="223">
        <v>1</v>
      </c>
    </row>
    <row r="88" spans="2:5" x14ac:dyDescent="0.2">
      <c r="B88" s="77" t="str">
        <f>GL_Eingabe!I21</f>
        <v>Planjahr</v>
      </c>
      <c r="C88" s="77">
        <f>GL_Eingabe!J21</f>
        <v>0</v>
      </c>
    </row>
    <row r="89" spans="2:5" x14ac:dyDescent="0.2">
      <c r="B89" s="77" t="str">
        <f>GL_Eingabe!C23</f>
        <v>Ertragsanteil Leguminosen *</v>
      </c>
      <c r="C89" s="205">
        <f>GL_Eingabe!M22</f>
        <v>1</v>
      </c>
      <c r="D89" s="223">
        <v>1</v>
      </c>
    </row>
    <row r="90" spans="2:5" x14ac:dyDescent="0.2">
      <c r="B90" s="77" t="str">
        <f>GL_Eingabe!C25</f>
        <v>Ertrag [dt TM/ha] *</v>
      </c>
    </row>
    <row r="91" spans="2:5" ht="14.25" x14ac:dyDescent="0.2">
      <c r="B91" s="77" t="str">
        <f>GL_Eingabe!C26</f>
        <v>letztes Jahr</v>
      </c>
      <c r="C91" s="78" t="str">
        <f>GL_Eingabe!J26</f>
        <v/>
      </c>
      <c r="E91" s="200" t="s">
        <v>4208</v>
      </c>
    </row>
    <row r="92" spans="2:5" ht="14.25" x14ac:dyDescent="0.2">
      <c r="B92" s="77" t="str">
        <f>GL_Eingabe!C27</f>
        <v>vor 2 Jahren</v>
      </c>
      <c r="C92" s="78" t="str">
        <f>GL_Eingabe!J27</f>
        <v/>
      </c>
      <c r="E92" s="200" t="s">
        <v>4208</v>
      </c>
    </row>
    <row r="93" spans="2:5" ht="14.25" x14ac:dyDescent="0.2">
      <c r="B93" s="77" t="str">
        <f>GL_Eingabe!C28</f>
        <v xml:space="preserve">vor 3 Jahren </v>
      </c>
      <c r="C93" s="78" t="str">
        <f>GL_Eingabe!J28</f>
        <v/>
      </c>
      <c r="E93" s="200" t="s">
        <v>4208</v>
      </c>
    </row>
    <row r="94" spans="2:5" x14ac:dyDescent="0.2">
      <c r="B94" s="77" t="str">
        <f>GL_Eingabe!C29</f>
        <v>vor 4 Jahren</v>
      </c>
      <c r="C94" s="78">
        <f>GL_Eingabe!D29</f>
        <v>0</v>
      </c>
    </row>
    <row r="95" spans="2:5" x14ac:dyDescent="0.2">
      <c r="B95" s="77" t="str">
        <f>GL_Eingabe!C31</f>
        <v>Alternative Ertragseingabe</v>
      </c>
      <c r="C95" s="78">
        <f>GL_Eingabe!J31</f>
        <v>0</v>
      </c>
    </row>
    <row r="96" spans="2:5" x14ac:dyDescent="0.2">
      <c r="B96" s="77" t="str">
        <f>GL_Eingabe!C33</f>
        <v>Rohproteingehalt [%]</v>
      </c>
    </row>
    <row r="97" spans="2:4" x14ac:dyDescent="0.2">
      <c r="B97" s="77" t="str">
        <f>GL_Eingabe!C34</f>
        <v>letztes Jahr</v>
      </c>
      <c r="C97" s="78">
        <f>GL_Eingabe!D34</f>
        <v>0</v>
      </c>
    </row>
    <row r="98" spans="2:4" x14ac:dyDescent="0.2">
      <c r="B98" s="77" t="str">
        <f>GL_Eingabe!C35</f>
        <v>vor 2 Jahren</v>
      </c>
      <c r="C98" s="78">
        <f>GL_Eingabe!D35</f>
        <v>0</v>
      </c>
    </row>
    <row r="99" spans="2:4" x14ac:dyDescent="0.2">
      <c r="B99" s="77" t="str">
        <f>GL_Eingabe!C36</f>
        <v xml:space="preserve">vor 3 Jahren </v>
      </c>
      <c r="C99" s="78">
        <f>GL_Eingabe!D36</f>
        <v>0</v>
      </c>
    </row>
    <row r="100" spans="2:4" x14ac:dyDescent="0.2">
      <c r="B100" s="77" t="str">
        <f>GL_Eingabe!C37</f>
        <v>vor 4 Jahren</v>
      </c>
      <c r="C100" s="78">
        <f>GL_Eingabe!D37</f>
        <v>0</v>
      </c>
    </row>
    <row r="101" spans="2:4" x14ac:dyDescent="0.2">
      <c r="B101" s="77" t="str">
        <f>GL_Eingabe!C39</f>
        <v>Alternative Rohproteineingabe</v>
      </c>
      <c r="C101" s="78">
        <f>GL_Eingabe!J39</f>
        <v>0</v>
      </c>
    </row>
    <row r="103" spans="2:4" x14ac:dyDescent="0.2">
      <c r="B103" s="77" t="str">
        <f>GL_Eingabe!C43</f>
        <v>N-Nachlieferung aus Bodenvorrat *</v>
      </c>
      <c r="C103" s="205">
        <f>GL_Eingabe!M43</f>
        <v>1</v>
      </c>
      <c r="D103" s="223">
        <v>1</v>
      </c>
    </row>
    <row r="104" spans="2:4" x14ac:dyDescent="0.2">
      <c r="B104" s="77" t="str">
        <f>GL_Eingabe!C46</f>
        <v>Bodenart ***</v>
      </c>
      <c r="C104" s="205">
        <f>GL_Eingabe!M48</f>
        <v>4</v>
      </c>
      <c r="D104" s="223">
        <v>4</v>
      </c>
    </row>
    <row r="105" spans="2:4" x14ac:dyDescent="0.2">
      <c r="B105" s="77" t="str">
        <f>GL_Eingabe!F46</f>
        <v>Humusgehalt</v>
      </c>
      <c r="C105" s="203">
        <f>GL_Eingabe!F47</f>
        <v>0</v>
      </c>
    </row>
    <row r="106" spans="2:4" x14ac:dyDescent="0.2">
      <c r="B106" s="77" t="str">
        <f>GL_Eingabe!G46</f>
        <v>pH-Wert</v>
      </c>
      <c r="C106" s="205">
        <f>GL_Eingabe!M46</f>
        <v>31</v>
      </c>
      <c r="D106" s="223">
        <v>31</v>
      </c>
    </row>
    <row r="107" spans="2:4" x14ac:dyDescent="0.2">
      <c r="B107" s="77" t="str">
        <f>GL_Eingabe!H45</f>
        <v>Bodengehaltswert [mg CAL bzw. CaCl2/100g Boden] ***</v>
      </c>
    </row>
    <row r="108" spans="2:4" x14ac:dyDescent="0.2">
      <c r="B108" s="77" t="str">
        <f>GL_Eingabe!H46</f>
        <v>P2O5</v>
      </c>
      <c r="C108" s="78">
        <f>GL_Eingabe!H47</f>
        <v>0</v>
      </c>
    </row>
    <row r="109" spans="2:4" x14ac:dyDescent="0.2">
      <c r="B109" s="77" t="str">
        <f>GL_Eingabe!I46</f>
        <v>K2O</v>
      </c>
      <c r="C109" s="78">
        <f>GL_Eingabe!I47</f>
        <v>0</v>
      </c>
    </row>
    <row r="110" spans="2:4" x14ac:dyDescent="0.2">
      <c r="B110" s="77" t="str">
        <f>GL_Eingabe!J46</f>
        <v>Mg</v>
      </c>
      <c r="C110" s="78">
        <f>GL_Eingabe!J47</f>
        <v>0</v>
      </c>
    </row>
    <row r="112" spans="2:4" x14ac:dyDescent="0.2">
      <c r="B112" s="77" t="str">
        <f>GL_Eingabe!C49</f>
        <v>Organische bzw. organisch-mineralische Düngung im letzten Jahr</v>
      </c>
    </row>
    <row r="113" spans="2:4" x14ac:dyDescent="0.2">
      <c r="B113" s="77" t="str">
        <f>GL_Eingabe!C51</f>
        <v>Düngemittel *</v>
      </c>
      <c r="C113" s="205">
        <f>GL_Eingabe!M52</f>
        <v>1</v>
      </c>
      <c r="D113" s="223">
        <v>1</v>
      </c>
    </row>
    <row r="114" spans="2:4" x14ac:dyDescent="0.2">
      <c r="B114" s="77" t="str">
        <f>GL_Eingabe!H51</f>
        <v>flüssiger WD [m³/ha], fester WD [t/ha] *</v>
      </c>
      <c r="C114" s="78">
        <f>GL_Eingabe!H52</f>
        <v>0</v>
      </c>
    </row>
    <row r="115" spans="2:4" x14ac:dyDescent="0.2">
      <c r="B115" s="77" t="str">
        <f>GL_Eingabe!J51</f>
        <v>Eigenanalyse [kg N/m³, t]</v>
      </c>
      <c r="C115" s="78">
        <f>GL_Eingabe!J52</f>
        <v>0</v>
      </c>
    </row>
    <row r="116" spans="2:4" x14ac:dyDescent="0.2">
      <c r="B116" s="77" t="str">
        <f>GL_Eingabe!C49</f>
        <v>Organische bzw. organisch-mineralische Düngung im letzten Jahr</v>
      </c>
      <c r="C116" s="78"/>
    </row>
    <row r="117" spans="2:4" x14ac:dyDescent="0.2">
      <c r="B117" s="77" t="str">
        <f>GL_Eingabe!C51</f>
        <v>Düngemittel *</v>
      </c>
      <c r="C117" s="205">
        <f>GL_Eingabe!M54</f>
        <v>1</v>
      </c>
      <c r="D117" s="223">
        <v>1</v>
      </c>
    </row>
    <row r="118" spans="2:4" x14ac:dyDescent="0.2">
      <c r="B118" s="77" t="str">
        <f>GL_Eingabe!H51</f>
        <v>flüssiger WD [m³/ha], fester WD [t/ha] *</v>
      </c>
      <c r="C118" s="78">
        <f>GL_Eingabe!H54</f>
        <v>0</v>
      </c>
    </row>
    <row r="119" spans="2:4" x14ac:dyDescent="0.2">
      <c r="B119" s="77" t="str">
        <f>GL_Eingabe!J51</f>
        <v>Eigenanalyse [kg N/m³, t]</v>
      </c>
      <c r="C119" s="78">
        <f>GL_Eingabe!J54</f>
        <v>0</v>
      </c>
    </row>
    <row r="123" spans="2:4" x14ac:dyDescent="0.2">
      <c r="B123" s="201" t="str">
        <f>OR_Eingabe!C4</f>
        <v>Düngebedarfsberechnung Obst u. Reben</v>
      </c>
    </row>
    <row r="125" spans="2:4" x14ac:dyDescent="0.2">
      <c r="B125" s="77" t="str">
        <f>OR_Eingabe!C12</f>
        <v>Nach-/Vorname</v>
      </c>
      <c r="C125" s="77">
        <f>OR_Eingabe!E12</f>
        <v>0</v>
      </c>
    </row>
    <row r="126" spans="2:4" x14ac:dyDescent="0.2">
      <c r="B126" s="77" t="str">
        <f>OR_Eingabe!G12</f>
        <v>Adresse</v>
      </c>
      <c r="C126" s="77">
        <f>OR_Eingabe!H12</f>
        <v>0</v>
      </c>
    </row>
    <row r="127" spans="2:4" x14ac:dyDescent="0.2">
      <c r="B127" s="77" t="str">
        <f>OR_Eingabe!C13</f>
        <v>Betriebs-Nr.</v>
      </c>
      <c r="C127" s="77">
        <f>OR_Eingabe!E13</f>
        <v>0</v>
      </c>
    </row>
    <row r="128" spans="2:4" x14ac:dyDescent="0.2">
      <c r="B128" s="77" t="str">
        <f>OR_Eingabe!G14</f>
        <v>Dienstbezirk</v>
      </c>
      <c r="C128" s="77">
        <f>OR_Eingabe!I14</f>
        <v>0</v>
      </c>
    </row>
    <row r="129" spans="2:4" x14ac:dyDescent="0.2">
      <c r="B129" s="77" t="str">
        <f>OR_Eingabe!C14</f>
        <v>Schlagname/-Nr.</v>
      </c>
      <c r="C129" s="77">
        <f>OR_Eingabe!E14</f>
        <v>0</v>
      </c>
    </row>
    <row r="130" spans="2:4" x14ac:dyDescent="0.2">
      <c r="B130" s="77" t="str">
        <f>OR_Eingabe!G16</f>
        <v>Gemarkung:</v>
      </c>
      <c r="C130" s="206">
        <f>OR_Eingabe!I16</f>
        <v>0</v>
      </c>
      <c r="D130" s="223"/>
    </row>
    <row r="131" spans="2:4" x14ac:dyDescent="0.2">
      <c r="B131" s="77" t="str">
        <f>OR_Eingabe!C16</f>
        <v>Flurstücks-Nr.</v>
      </c>
      <c r="C131" s="77">
        <f>OR_Eingabe!E16</f>
        <v>0</v>
      </c>
    </row>
    <row r="132" spans="2:4" x14ac:dyDescent="0.2">
      <c r="B132" s="77" t="str">
        <f>OR_Eingabe!G17</f>
        <v>Vergleichsgebiet-Nr.</v>
      </c>
      <c r="C132" s="77" t="str">
        <f ca="1">OR_Eingabe!I17</f>
        <v>Gemeinde und Gemarkung auswählen!</v>
      </c>
    </row>
    <row r="133" spans="2:4" x14ac:dyDescent="0.2">
      <c r="B133" s="77" t="str">
        <f>OR_Eingabe!C17</f>
        <v>Schlaggröße [ha]</v>
      </c>
      <c r="C133" s="78">
        <f>OR_Eingabe!E17</f>
        <v>0</v>
      </c>
    </row>
    <row r="135" spans="2:4" x14ac:dyDescent="0.2">
      <c r="B135" s="77" t="str">
        <f>OR_Eingabe!C22</f>
        <v>Hauptfrucht *</v>
      </c>
      <c r="C135" s="205">
        <f>OR_Eingabe!M22</f>
        <v>1</v>
      </c>
      <c r="D135" s="223">
        <v>1</v>
      </c>
    </row>
    <row r="136" spans="2:4" x14ac:dyDescent="0.2">
      <c r="B136" s="77" t="str">
        <f>OR_Eingabe!I22</f>
        <v>Planjahr</v>
      </c>
      <c r="C136" s="77">
        <f>OR_Eingabe!J22</f>
        <v>0</v>
      </c>
    </row>
    <row r="137" spans="2:4" x14ac:dyDescent="0.2">
      <c r="B137" s="77" t="str">
        <f>OR_Eingabe!C24</f>
        <v>Ertragseerwartung [dt/ha] *</v>
      </c>
      <c r="C137" s="78">
        <f>OR_Eingabe!F24</f>
        <v>0</v>
      </c>
    </row>
    <row r="139" spans="2:4" x14ac:dyDescent="0.2">
      <c r="B139" s="77" t="str">
        <f>OR_Eingabe!C26</f>
        <v xml:space="preserve">verfügbare N-Menge im Boden (Nmin, Nitrat-N) </v>
      </c>
    </row>
    <row r="140" spans="2:4" x14ac:dyDescent="0.2">
      <c r="B140" s="77" t="str">
        <f>OR_Eingabe!C28</f>
        <v>Referenz- oder Eigenanalysewert [kg N/ha] *</v>
      </c>
      <c r="C140" s="78">
        <f>OR_Eingabe!F28</f>
        <v>0</v>
      </c>
    </row>
    <row r="142" spans="2:4" x14ac:dyDescent="0.2">
      <c r="B142" s="77" t="str">
        <f>OR_Eingabe!C32</f>
        <v>Bodenart</v>
      </c>
      <c r="C142" s="205">
        <f>OR_Eingabe!M33</f>
        <v>4</v>
      </c>
      <c r="D142" s="223">
        <v>4</v>
      </c>
    </row>
    <row r="143" spans="2:4" x14ac:dyDescent="0.2">
      <c r="B143" s="77" t="str">
        <f>OR_Eingabe!C34</f>
        <v>Humusgehalt *</v>
      </c>
      <c r="C143" s="203">
        <f>OR_Eingabe!C35</f>
        <v>0</v>
      </c>
    </row>
    <row r="144" spans="2:4" x14ac:dyDescent="0.2">
      <c r="B144" s="77" t="str">
        <f>OR_Eingabe!D34</f>
        <v>pH-Wert</v>
      </c>
      <c r="C144" s="205">
        <f>OR_Eingabe!M36</f>
        <v>31</v>
      </c>
      <c r="D144" s="223">
        <v>31</v>
      </c>
    </row>
    <row r="145" spans="2:4" x14ac:dyDescent="0.2">
      <c r="B145" s="77" t="str">
        <f>OR_Eingabe!H33</f>
        <v>Bodengehaltswert [mg CAL bzw. CaCl2/100g Boden] ***</v>
      </c>
    </row>
    <row r="146" spans="2:4" x14ac:dyDescent="0.2">
      <c r="B146" s="77" t="str">
        <f>OR_Eingabe!H34</f>
        <v>P2O5</v>
      </c>
      <c r="C146" s="78">
        <f>OR_Eingabe!H35</f>
        <v>0</v>
      </c>
    </row>
    <row r="147" spans="2:4" x14ac:dyDescent="0.2">
      <c r="B147" s="77" t="str">
        <f>OR_Eingabe!I34</f>
        <v>K2O</v>
      </c>
      <c r="C147" s="78">
        <f>OR_Eingabe!I35</f>
        <v>0</v>
      </c>
    </row>
    <row r="148" spans="2:4" x14ac:dyDescent="0.2">
      <c r="B148" s="77" t="str">
        <f>OR_Eingabe!J34</f>
        <v>Mg</v>
      </c>
      <c r="C148" s="78">
        <f>OR_Eingabe!J35</f>
        <v>0</v>
      </c>
    </row>
    <row r="150" spans="2:4" x14ac:dyDescent="0.2">
      <c r="B150" s="77" t="str">
        <f>OR_Eingabe!C37</f>
        <v>Organische bzw. organisch-mineralische Düngung im letzten Jahr</v>
      </c>
    </row>
    <row r="151" spans="2:4" x14ac:dyDescent="0.2">
      <c r="B151" s="77" t="str">
        <f>OR_Eingabe!C39</f>
        <v>Düngung im Herbst (nach der Ernte der Vorfrucht bzw. zur Zwischenfrucht oder Begrünung)</v>
      </c>
    </row>
    <row r="152" spans="2:4" x14ac:dyDescent="0.2">
      <c r="B152" s="77" t="str">
        <f>OR_Eingabe!C40</f>
        <v>Düngemittel *</v>
      </c>
      <c r="C152" s="205">
        <f>OR_Eingabe!M41</f>
        <v>1</v>
      </c>
      <c r="D152" s="223">
        <v>1</v>
      </c>
    </row>
    <row r="153" spans="2:4" x14ac:dyDescent="0.2">
      <c r="B153" s="77" t="str">
        <f>OR_Eingabe!H40</f>
        <v>flüssiger WD [m³/ha], fester WD [t/ha] *</v>
      </c>
      <c r="C153" s="78">
        <f>OR_Eingabe!H41</f>
        <v>0</v>
      </c>
    </row>
    <row r="154" spans="2:4" x14ac:dyDescent="0.2">
      <c r="B154" s="77" t="str">
        <f>OR_Eingabe!J40</f>
        <v>Eigenanalyse [kg N/m³, t]</v>
      </c>
      <c r="C154" s="78">
        <f>OR_Eingabe!J41</f>
        <v>0</v>
      </c>
    </row>
    <row r="155" spans="2:4" x14ac:dyDescent="0.2">
      <c r="B155" s="77" t="str">
        <f>OR_Eingabe!C43</f>
        <v>weitere organische Düngung im Vorjahr</v>
      </c>
    </row>
    <row r="156" spans="2:4" x14ac:dyDescent="0.2">
      <c r="B156" s="77" t="str">
        <f>OR_Eingabe!C44</f>
        <v>Düngemittel *</v>
      </c>
      <c r="C156" s="205">
        <f>OR_Eingabe!M45</f>
        <v>1</v>
      </c>
      <c r="D156" s="223">
        <v>1</v>
      </c>
    </row>
    <row r="157" spans="2:4" x14ac:dyDescent="0.2">
      <c r="B157" s="77" t="str">
        <f>OR_Eingabe!H44</f>
        <v>flüssiger WD [m³/ha], fester WD [t/ha] *</v>
      </c>
      <c r="C157" s="78">
        <f>OR_Eingabe!H45</f>
        <v>0</v>
      </c>
    </row>
    <row r="158" spans="2:4" x14ac:dyDescent="0.2">
      <c r="B158" s="77" t="str">
        <f>OR_Eingabe!J44</f>
        <v>Eigenanalyse [kg N/m³, t]</v>
      </c>
      <c r="C158" s="78">
        <f>OR_Eingabe!J45</f>
        <v>0</v>
      </c>
    </row>
    <row r="159" spans="2:4" x14ac:dyDescent="0.2">
      <c r="B159" s="77" t="str">
        <f>OR_Eingabe!C47</f>
        <v>Düngung mit Kompost in 3 Vorjahren</v>
      </c>
      <c r="C159" s="78"/>
    </row>
    <row r="160" spans="2:4" x14ac:dyDescent="0.2">
      <c r="B160" s="77" t="str">
        <f>OR_Eingabe!C48</f>
        <v>Düngemittel *</v>
      </c>
      <c r="C160" s="205">
        <f>OR_Eingabe!M49</f>
        <v>4</v>
      </c>
      <c r="D160" s="223">
        <v>4</v>
      </c>
    </row>
    <row r="161" spans="2:5" x14ac:dyDescent="0.2">
      <c r="B161" s="77" t="str">
        <f>OR_Eingabe!F47&amp;": "&amp;OR_Eingabe!$H$48</f>
        <v>Planjahr?: fester WD [t/ha] *</v>
      </c>
      <c r="C161" s="78">
        <f>OR_Eingabe!F49</f>
        <v>0</v>
      </c>
    </row>
    <row r="162" spans="2:5" x14ac:dyDescent="0.2">
      <c r="B162" s="77" t="str">
        <f>OR_Eingabe!G47&amp;": "&amp;OR_Eingabe!$H$48</f>
        <v>: fester WD [t/ha] *</v>
      </c>
      <c r="C162" s="78">
        <f>OR_Eingabe!G49</f>
        <v>0</v>
      </c>
    </row>
    <row r="163" spans="2:5" x14ac:dyDescent="0.2">
      <c r="B163" s="77" t="str">
        <f>OR_Eingabe!H47&amp;": "&amp;OR_Eingabe!$H$48</f>
        <v>: fester WD [t/ha] *</v>
      </c>
      <c r="C163" s="78">
        <f>OR_Eingabe!H49</f>
        <v>0</v>
      </c>
    </row>
    <row r="164" spans="2:5" x14ac:dyDescent="0.2">
      <c r="B164" s="77" t="str">
        <f>OR_Eingabe!J48</f>
        <v>Eigenanalyse [kg N/t]</v>
      </c>
      <c r="C164" s="78">
        <f>OR_Eingabe!J49</f>
        <v>0</v>
      </c>
    </row>
    <row r="166" spans="2:5" ht="14.25" x14ac:dyDescent="0.2">
      <c r="B166" s="77" t="str">
        <f>OR_Eingabe!C53</f>
        <v>Vorfrucht *</v>
      </c>
      <c r="C166" s="205">
        <f>OR_Eingabe!M53</f>
        <v>1</v>
      </c>
      <c r="D166" s="223">
        <v>1</v>
      </c>
      <c r="E166" s="200" t="s">
        <v>4209</v>
      </c>
    </row>
    <row r="167" spans="2:5" ht="14.25" x14ac:dyDescent="0.2">
      <c r="B167" s="77" t="str">
        <f>OR_Eingabe!C54</f>
        <v>Ertrag [dt/ha]</v>
      </c>
      <c r="C167" s="78">
        <f>OR_Eingabe!C55</f>
        <v>0</v>
      </c>
      <c r="E167" s="200" t="s">
        <v>4209</v>
      </c>
    </row>
    <row r="168" spans="2:5" ht="14.25" x14ac:dyDescent="0.2">
      <c r="B168" s="77" t="str">
        <f>OR_Eingabe!D54</f>
        <v>Erntereste abgefahren</v>
      </c>
      <c r="C168" s="205">
        <f>OR_Eingabe!M55</f>
        <v>1</v>
      </c>
      <c r="D168" s="223">
        <v>1</v>
      </c>
      <c r="E168" s="200" t="s">
        <v>4209</v>
      </c>
    </row>
    <row r="169" spans="2:5" ht="14.25" x14ac:dyDescent="0.2">
      <c r="B169" s="77" t="str">
        <f>OR_Eingabe!G54</f>
        <v>Zwischenfrucht *</v>
      </c>
      <c r="C169" s="205">
        <f>OR_Eingabe!M56</f>
        <v>1</v>
      </c>
      <c r="D169" s="223">
        <v>1</v>
      </c>
      <c r="E169" s="200" t="s">
        <v>4209</v>
      </c>
    </row>
    <row r="171" spans="2:5" x14ac:dyDescent="0.2">
      <c r="B171" s="77" t="str">
        <f>OR_Eingabe!L60</f>
        <v>N-mangel</v>
      </c>
      <c r="C171" s="205">
        <f>OR_Eingabe!M60</f>
        <v>1</v>
      </c>
      <c r="D171" s="223">
        <v>1</v>
      </c>
    </row>
    <row r="172" spans="2:5" x14ac:dyDescent="0.2">
      <c r="B172" s="77" t="str">
        <f>OR_Eingabe!L61</f>
        <v>Wüchsigkeit u.a.</v>
      </c>
      <c r="C172" s="205">
        <f>OR_Eingabe!M61</f>
        <v>1</v>
      </c>
      <c r="D172" s="223">
        <v>1</v>
      </c>
    </row>
    <row r="173" spans="2:5" x14ac:dyDescent="0.2">
      <c r="C173" s="205"/>
      <c r="D173" s="223"/>
    </row>
    <row r="174" spans="2:5" x14ac:dyDescent="0.2">
      <c r="B174" s="77" t="str">
        <f>OR_Eingabe!L63</f>
        <v>Abdeckung..</v>
      </c>
      <c r="C174" s="205">
        <f>OR_Eingabe!M63</f>
        <v>1</v>
      </c>
      <c r="D174" s="223">
        <v>1</v>
      </c>
    </row>
  </sheetData>
  <sheetProtection password="8677" sheet="1" objects="1" scenarios="1"/>
  <pageMargins left="0.7" right="0.7" top="0.78740157499999996" bottom="0.78740157499999996" header="0.3" footer="0.3"/>
  <pageSetup paperSize="9" scale="80" orientation="portrait" verticalDpi="0" r:id="rId1"/>
  <rowBreaks count="2" manualBreakCount="2">
    <brk id="72" max="3" man="1"/>
    <brk id="137" max="3" man="1"/>
  </rowBreaks>
  <colBreaks count="1" manualBreakCount="1">
    <brk id="4"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rgb="FF0070C0"/>
    <pageSetUpPr fitToPage="1"/>
  </sheetPr>
  <dimension ref="B1:AL330"/>
  <sheetViews>
    <sheetView showGridLines="0" zoomScale="85" zoomScaleNormal="85" workbookViewId="0">
      <pane xSplit="2" ySplit="21" topLeftCell="C22" activePane="bottomRight" state="frozen"/>
      <selection activeCell="A10" sqref="A10"/>
      <selection pane="topRight" activeCell="A10" sqref="A10"/>
      <selection pane="bottomLeft" activeCell="A10" sqref="A10"/>
      <selection pane="bottomRight" activeCell="AG34" sqref="AG34"/>
    </sheetView>
  </sheetViews>
  <sheetFormatPr baseColWidth="10" defaultRowHeight="14.25" x14ac:dyDescent="0.2"/>
  <cols>
    <col min="1" max="1" width="0.5" customWidth="1"/>
    <col min="2" max="2" width="2.75" customWidth="1"/>
    <col min="3" max="3" width="12" customWidth="1"/>
    <col min="5" max="5" width="12.875" customWidth="1"/>
    <col min="7" max="7" width="12.625" customWidth="1"/>
    <col min="8" max="9" width="15" customWidth="1"/>
    <col min="10" max="10" width="18.5" customWidth="1"/>
    <col min="11" max="12" width="12.25" hidden="1" customWidth="1"/>
    <col min="13" max="13" width="15.5" hidden="1" customWidth="1"/>
    <col min="14" max="14" width="16.5" hidden="1" customWidth="1"/>
    <col min="15" max="15" width="38.625" hidden="1" customWidth="1"/>
    <col min="16" max="16" width="4.875" hidden="1" customWidth="1"/>
    <col min="17" max="17" width="50.875" hidden="1" customWidth="1"/>
    <col min="18" max="18" width="37.125" hidden="1" customWidth="1"/>
    <col min="19" max="19" width="16.5" hidden="1" customWidth="1"/>
    <col min="20" max="20" width="37.125" hidden="1" customWidth="1"/>
    <col min="21" max="21" width="37.625" hidden="1" customWidth="1"/>
    <col min="22" max="22" width="68.125" hidden="1" customWidth="1"/>
    <col min="23" max="23" width="11.25" style="75" hidden="1" customWidth="1"/>
    <col min="24" max="24" width="12" style="75" hidden="1" customWidth="1"/>
    <col min="25" max="25" width="12.5" style="75" hidden="1" customWidth="1"/>
    <col min="26" max="26" width="12" style="75" hidden="1" customWidth="1"/>
    <col min="27" max="27" width="37.125" hidden="1" customWidth="1"/>
    <col min="28" max="28" width="7.5" hidden="1" customWidth="1"/>
    <col min="29" max="29" width="32.875" hidden="1" customWidth="1"/>
    <col min="30" max="31" width="37.125" hidden="1" customWidth="1"/>
    <col min="32" max="38" width="37.125" customWidth="1"/>
    <col min="47" max="47" width="14.375" customWidth="1"/>
  </cols>
  <sheetData>
    <row r="1" spans="3:32" ht="2.85" customHeight="1" x14ac:dyDescent="0.2"/>
    <row r="2" spans="3:32" ht="30.6" customHeight="1" x14ac:dyDescent="0.25">
      <c r="C2" s="396"/>
      <c r="D2" s="397"/>
      <c r="E2" s="397"/>
      <c r="F2" s="397"/>
      <c r="G2" s="397"/>
      <c r="H2" s="397"/>
      <c r="I2" s="397"/>
      <c r="J2" s="398"/>
      <c r="K2" s="896" t="s">
        <v>4402</v>
      </c>
    </row>
    <row r="3" spans="3:32" ht="19.149999999999999" thickBot="1" x14ac:dyDescent="0.35">
      <c r="C3" s="155" t="str">
        <f>Startmenue!C2</f>
        <v>Düngung BW</v>
      </c>
      <c r="D3" s="156"/>
      <c r="E3" s="156"/>
      <c r="F3" s="156"/>
      <c r="G3" s="156"/>
      <c r="H3" s="156"/>
      <c r="I3" s="156"/>
      <c r="J3" s="157" t="s">
        <v>1</v>
      </c>
      <c r="K3" s="900"/>
      <c r="L3" s="99"/>
      <c r="R3" s="4"/>
      <c r="S3" s="4"/>
      <c r="T3" s="4"/>
    </row>
    <row r="4" spans="3:32" ht="15" x14ac:dyDescent="0.25">
      <c r="C4" s="6" t="s">
        <v>3935</v>
      </c>
      <c r="D4" s="4"/>
      <c r="E4" s="4"/>
      <c r="F4" s="49" t="s">
        <v>3933</v>
      </c>
      <c r="G4" s="4"/>
      <c r="H4" s="4"/>
      <c r="I4" s="4"/>
      <c r="J4" s="395"/>
      <c r="K4" s="900"/>
      <c r="M4" s="316" t="s">
        <v>3667</v>
      </c>
      <c r="N4" s="317" t="s">
        <v>4213</v>
      </c>
      <c r="O4" s="4"/>
      <c r="P4" s="4"/>
      <c r="R4" s="4"/>
      <c r="S4" s="4"/>
      <c r="T4" s="4"/>
    </row>
    <row r="5" spans="3:32" ht="15" x14ac:dyDescent="0.25">
      <c r="C5" s="104" t="str">
        <f>Startmenue!C4</f>
        <v>(EXCEL-Anwendung, Stand: 06/03/2018)</v>
      </c>
      <c r="D5" s="3"/>
      <c r="E5" s="3"/>
      <c r="F5" s="3"/>
      <c r="G5" s="3"/>
      <c r="H5" s="3"/>
      <c r="I5" s="3"/>
      <c r="J5" s="648" t="str">
        <f>Startmenue!G2</f>
        <v>Version 1.2</v>
      </c>
      <c r="K5" s="900"/>
      <c r="M5" s="318" t="s">
        <v>3668</v>
      </c>
      <c r="N5" s="319"/>
      <c r="O5" s="4"/>
      <c r="P5" s="4"/>
      <c r="Q5" s="4"/>
      <c r="R5" s="4"/>
      <c r="S5" s="4"/>
      <c r="T5" s="4"/>
    </row>
    <row r="6" spans="3:32" ht="2.1" customHeight="1" x14ac:dyDescent="0.25">
      <c r="C6" s="158"/>
      <c r="D6" s="156"/>
      <c r="E6" s="156"/>
      <c r="F6" s="156"/>
      <c r="G6" s="156"/>
      <c r="H6" s="156"/>
      <c r="I6" s="156"/>
      <c r="J6" s="159"/>
      <c r="K6" s="899"/>
      <c r="M6" s="318" t="s">
        <v>4305</v>
      </c>
      <c r="N6" s="319"/>
      <c r="O6" s="4"/>
      <c r="P6" s="4">
        <v>2387</v>
      </c>
      <c r="Q6" s="4" t="s">
        <v>4302</v>
      </c>
      <c r="R6" s="4"/>
      <c r="S6" s="4"/>
      <c r="T6" s="4"/>
    </row>
    <row r="7" spans="3:32" ht="2.1" customHeight="1" x14ac:dyDescent="0.2">
      <c r="C7" s="5"/>
      <c r="D7" s="4"/>
      <c r="E7" s="4"/>
      <c r="F7" s="4"/>
      <c r="G7" s="4"/>
      <c r="H7" s="4"/>
      <c r="I7" s="4"/>
      <c r="J7" s="10"/>
      <c r="K7" s="899"/>
      <c r="M7" s="309"/>
      <c r="N7" s="117"/>
      <c r="O7" s="4"/>
      <c r="Q7" s="4"/>
      <c r="R7" s="4"/>
      <c r="S7" s="4"/>
      <c r="T7" s="4"/>
    </row>
    <row r="8" spans="3:32" ht="2.1" customHeight="1" x14ac:dyDescent="0.2">
      <c r="C8" s="5"/>
      <c r="D8" s="4"/>
      <c r="E8" s="4"/>
      <c r="F8" s="4"/>
      <c r="G8" s="4"/>
      <c r="H8" s="4"/>
      <c r="I8" s="4"/>
      <c r="J8" s="10"/>
      <c r="K8" s="899"/>
      <c r="M8" s="307"/>
      <c r="N8" s="308"/>
      <c r="O8" s="306"/>
      <c r="P8" s="4"/>
      <c r="Q8" s="4"/>
      <c r="R8" s="4"/>
      <c r="S8" s="4"/>
      <c r="T8" s="4"/>
    </row>
    <row r="9" spans="3:32" x14ac:dyDescent="0.2">
      <c r="C9" s="330" t="s">
        <v>2</v>
      </c>
      <c r="D9" s="320"/>
      <c r="E9" s="320"/>
      <c r="F9" s="4"/>
      <c r="J9" s="10"/>
      <c r="K9" s="899"/>
      <c r="M9" s="307"/>
      <c r="N9" s="308"/>
      <c r="O9" s="4"/>
      <c r="P9" s="4"/>
      <c r="Q9" s="4"/>
      <c r="R9" s="4"/>
      <c r="S9" s="4"/>
      <c r="T9" s="4"/>
    </row>
    <row r="10" spans="3:32" ht="15" x14ac:dyDescent="0.25">
      <c r="C10" s="86" t="s">
        <v>3941</v>
      </c>
      <c r="G10" s="26" t="s">
        <v>3942</v>
      </c>
      <c r="I10" s="4"/>
      <c r="J10" s="27" t="s">
        <v>3943</v>
      </c>
      <c r="K10" s="899"/>
      <c r="M10" s="307"/>
      <c r="N10" s="308"/>
      <c r="O10" s="98"/>
      <c r="P10" s="4"/>
      <c r="Q10" s="4"/>
      <c r="R10" s="4"/>
      <c r="S10" s="4"/>
      <c r="T10" s="4"/>
    </row>
    <row r="11" spans="3:32" ht="4.1500000000000004" customHeight="1" x14ac:dyDescent="0.2">
      <c r="C11" s="4"/>
      <c r="D11" s="4"/>
      <c r="E11" s="4"/>
      <c r="F11" s="4"/>
      <c r="G11" s="4"/>
      <c r="H11" s="4"/>
      <c r="I11" s="4"/>
      <c r="J11" s="10"/>
      <c r="K11" s="899"/>
      <c r="M11" s="307"/>
      <c r="N11" s="308"/>
      <c r="O11" s="98"/>
      <c r="P11" s="4"/>
      <c r="Q11" s="4"/>
      <c r="R11" s="4"/>
      <c r="S11" s="4"/>
      <c r="T11" s="4"/>
    </row>
    <row r="12" spans="3:32" s="59" customFormat="1" ht="13.7" customHeight="1" x14ac:dyDescent="0.2">
      <c r="C12" s="515" t="s">
        <v>3</v>
      </c>
      <c r="D12" s="516"/>
      <c r="E12" s="1866"/>
      <c r="F12" s="1867"/>
      <c r="G12" s="515" t="s">
        <v>4</v>
      </c>
      <c r="H12" s="1860"/>
      <c r="I12" s="1861"/>
      <c r="J12" s="1862"/>
      <c r="K12" s="898"/>
      <c r="M12" s="312"/>
      <c r="N12" s="313"/>
      <c r="O12" s="517"/>
      <c r="P12" s="58"/>
      <c r="Q12" s="58"/>
      <c r="R12" s="58"/>
      <c r="S12" s="58"/>
      <c r="T12" s="58"/>
      <c r="W12" s="198"/>
      <c r="X12" s="198"/>
      <c r="Y12" s="198"/>
      <c r="Z12" s="198"/>
    </row>
    <row r="13" spans="3:32" s="59" customFormat="1" x14ac:dyDescent="0.2">
      <c r="C13" s="419" t="s">
        <v>5</v>
      </c>
      <c r="D13" s="420"/>
      <c r="E13" s="1868"/>
      <c r="F13" s="1869"/>
      <c r="G13" s="70"/>
      <c r="H13" s="1863"/>
      <c r="I13" s="1864"/>
      <c r="J13" s="1865"/>
      <c r="K13" s="898"/>
      <c r="M13" s="312"/>
      <c r="N13" s="313"/>
      <c r="O13" s="58"/>
      <c r="P13" s="58"/>
      <c r="Q13" s="58"/>
      <c r="R13" s="58"/>
      <c r="S13" s="58"/>
      <c r="T13" s="58"/>
      <c r="W13" s="198"/>
      <c r="X13" s="198"/>
      <c r="Y13" s="198"/>
      <c r="Z13" s="198"/>
    </row>
    <row r="14" spans="3:32" s="59" customFormat="1" x14ac:dyDescent="0.2">
      <c r="C14" s="419" t="s">
        <v>7</v>
      </c>
      <c r="D14" s="420"/>
      <c r="E14" s="1853"/>
      <c r="F14" s="1870"/>
      <c r="G14" s="419" t="s">
        <v>4907</v>
      </c>
      <c r="H14" s="1855"/>
      <c r="I14" s="1856"/>
      <c r="J14" s="1857"/>
      <c r="K14" s="898"/>
      <c r="M14" s="312"/>
      <c r="N14" s="313"/>
      <c r="O14" s="58"/>
      <c r="P14" s="58"/>
      <c r="Q14" s="58"/>
      <c r="R14" s="58"/>
      <c r="S14" s="58"/>
      <c r="T14" s="58"/>
      <c r="W14" s="198"/>
      <c r="X14" s="198"/>
      <c r="Y14" s="198"/>
      <c r="Z14" s="198"/>
    </row>
    <row r="15" spans="3:32" s="59" customFormat="1" x14ac:dyDescent="0.2">
      <c r="C15" s="419" t="s">
        <v>9</v>
      </c>
      <c r="D15" s="420"/>
      <c r="E15" s="421"/>
      <c r="F15" s="422"/>
      <c r="G15" s="419" t="s">
        <v>4908</v>
      </c>
      <c r="H15" s="1853"/>
      <c r="I15" s="1854"/>
      <c r="J15" s="427"/>
      <c r="K15" s="1823"/>
      <c r="M15" s="312"/>
      <c r="N15" s="313"/>
      <c r="O15" s="58"/>
      <c r="P15" s="58"/>
      <c r="Q15" s="58"/>
      <c r="R15" s="58"/>
      <c r="S15" s="58"/>
      <c r="T15" s="58"/>
      <c r="W15" s="198"/>
      <c r="X15" s="198"/>
      <c r="Y15" s="198"/>
      <c r="Z15" s="198"/>
    </row>
    <row r="16" spans="3:32" s="59" customFormat="1" ht="13.7" customHeight="1" x14ac:dyDescent="0.2">
      <c r="C16" s="419" t="s">
        <v>11</v>
      </c>
      <c r="D16" s="420"/>
      <c r="E16" s="518"/>
      <c r="F16" s="422"/>
      <c r="G16" t="s">
        <v>4909</v>
      </c>
      <c r="H16" s="1853"/>
      <c r="I16" s="1854"/>
      <c r="J16" s="1851"/>
      <c r="K16" s="1852"/>
      <c r="M16" s="312"/>
      <c r="N16" s="313"/>
      <c r="O16" s="423" t="s">
        <v>3675</v>
      </c>
      <c r="Q16" s="58"/>
      <c r="R16" s="58"/>
      <c r="S16" s="58"/>
      <c r="T16" s="58"/>
      <c r="W16" s="198"/>
      <c r="X16" s="198"/>
      <c r="Y16" s="198"/>
      <c r="Z16" s="198"/>
      <c r="AF16" s="57"/>
    </row>
    <row r="17" spans="2:38" s="59" customFormat="1" x14ac:dyDescent="0.2">
      <c r="G17" s="419" t="s">
        <v>4304</v>
      </c>
      <c r="H17" s="422"/>
      <c r="I17" s="199" t="str">
        <f ca="1">IFERROR(VLOOKUP(H16,OFFSET(Gemarkungen!$C$12,VLOOKUP(H15,Gemarkungen!$O$13:$R$1130,3,FALSE),0,VLOOKUP(H15, Gemarkungen!$O$13:$R$1130,4,FALSE)-VLOOKUP(H15,Gemarkungen!$O$13:$R$1130,3,FALSE)+1,4),4,FALSE),"Gemeinde und Gemarkung auswählen!")</f>
        <v>Gemeinde und Gemarkung auswählen!</v>
      </c>
      <c r="J17" s="420"/>
      <c r="K17" s="898"/>
      <c r="M17" s="312"/>
      <c r="N17" s="313"/>
      <c r="O17" s="58"/>
      <c r="P17" s="58"/>
      <c r="Q17" s="58"/>
      <c r="R17" s="58"/>
      <c r="S17" s="58"/>
      <c r="T17" s="58"/>
      <c r="W17" s="198"/>
      <c r="X17" s="198"/>
      <c r="Y17" s="198"/>
      <c r="Z17" s="198"/>
      <c r="AL17" s="1718"/>
    </row>
    <row r="18" spans="2:38" ht="4.1500000000000004" customHeight="1" x14ac:dyDescent="0.2">
      <c r="C18" s="5"/>
      <c r="D18" s="4"/>
      <c r="E18" s="4"/>
      <c r="F18" s="4"/>
      <c r="G18" s="1"/>
      <c r="H18" s="326"/>
      <c r="I18" s="326"/>
      <c r="J18" s="327"/>
      <c r="K18" s="899"/>
      <c r="M18" s="307"/>
      <c r="N18" s="308"/>
      <c r="O18" s="4"/>
      <c r="P18" s="4"/>
      <c r="Q18" s="4"/>
      <c r="R18" s="4"/>
      <c r="S18" s="4"/>
      <c r="T18" s="4"/>
    </row>
    <row r="19" spans="2:38" ht="13.7" customHeight="1" x14ac:dyDescent="0.2">
      <c r="C19" s="331" t="s">
        <v>12</v>
      </c>
      <c r="D19" s="332"/>
      <c r="E19" s="332"/>
      <c r="F19" s="332"/>
      <c r="G19" s="332"/>
      <c r="H19" s="332"/>
      <c r="I19" s="332"/>
      <c r="J19" s="1678"/>
      <c r="K19" s="899"/>
      <c r="M19" s="307"/>
      <c r="N19" s="308"/>
      <c r="O19" s="4"/>
    </row>
    <row r="20" spans="2:38" ht="32.25" customHeight="1" x14ac:dyDescent="0.2">
      <c r="C20" s="1882" t="str">
        <f>IF(M21=59,HYPERLINK("https://www.duengung-bw.de/","Bitte Stammdaten für Hopfen im Blatt Kulturen (muss eingeblendet werden) eintragen oder Berechnung unter Düngung-BW"),"")</f>
        <v/>
      </c>
      <c r="D20" s="1883"/>
      <c r="E20" s="1883"/>
      <c r="F20" s="1883"/>
      <c r="G20" s="1883"/>
      <c r="H20" s="1883"/>
      <c r="I20" s="1883"/>
      <c r="J20" s="1884"/>
      <c r="K20" s="899"/>
      <c r="M20" s="307"/>
      <c r="N20" s="308"/>
      <c r="O20" s="4"/>
    </row>
    <row r="21" spans="2:38" ht="13.7" customHeight="1" x14ac:dyDescent="0.2">
      <c r="C21" s="143" t="s">
        <v>4320</v>
      </c>
      <c r="D21" s="144"/>
      <c r="E21" s="145"/>
      <c r="F21" s="145"/>
      <c r="G21" s="5"/>
      <c r="H21" s="10"/>
      <c r="I21" s="146" t="s">
        <v>15</v>
      </c>
      <c r="J21" s="324"/>
      <c r="K21" s="899"/>
      <c r="L21" s="83" t="s">
        <v>13</v>
      </c>
      <c r="M21" s="310">
        <v>1</v>
      </c>
      <c r="N21" s="311">
        <v>1</v>
      </c>
      <c r="O21" s="101" t="s">
        <v>3674</v>
      </c>
      <c r="Q21" s="4"/>
      <c r="R21" s="4"/>
      <c r="S21" s="4"/>
      <c r="T21" s="4"/>
    </row>
    <row r="22" spans="2:38" ht="13.7" customHeight="1" x14ac:dyDescent="0.2">
      <c r="C22" s="103"/>
      <c r="D22" s="1673"/>
      <c r="E22" s="1674"/>
      <c r="F22" s="1674"/>
      <c r="G22" s="1675"/>
      <c r="H22" s="1675"/>
      <c r="I22" s="1676"/>
      <c r="J22" s="1677"/>
      <c r="K22" s="899"/>
      <c r="L22" s="83"/>
      <c r="M22" s="310"/>
      <c r="N22" s="311"/>
      <c r="O22" s="101"/>
      <c r="Q22" s="4"/>
      <c r="R22" s="4"/>
      <c r="S22" s="4"/>
      <c r="T22" s="4"/>
    </row>
    <row r="23" spans="2:38" s="59" customFormat="1" ht="13.7" customHeight="1" x14ac:dyDescent="0.2">
      <c r="B23" s="218"/>
      <c r="C23" s="419" t="s">
        <v>4742</v>
      </c>
      <c r="D23" s="425"/>
      <c r="E23" s="425"/>
      <c r="F23" s="425"/>
      <c r="G23" s="420"/>
      <c r="H23" s="58"/>
      <c r="I23" s="58"/>
      <c r="J23" s="61"/>
      <c r="K23" s="898"/>
      <c r="L23" s="1672" t="s">
        <v>4743</v>
      </c>
      <c r="M23" s="310">
        <v>1</v>
      </c>
      <c r="N23" s="311">
        <v>1</v>
      </c>
      <c r="O23" s="58"/>
      <c r="P23" s="58"/>
      <c r="Q23" s="58"/>
      <c r="R23" s="58"/>
      <c r="S23" s="210"/>
      <c r="T23" s="58"/>
      <c r="U23" s="58"/>
      <c r="V23" s="58"/>
      <c r="W23" s="500"/>
      <c r="X23" s="500"/>
      <c r="Y23" s="500"/>
      <c r="Z23" s="500"/>
      <c r="AA23" s="58"/>
      <c r="AB23" s="58"/>
      <c r="AC23" s="58"/>
      <c r="AD23" s="58"/>
      <c r="AE23" s="58"/>
    </row>
    <row r="24" spans="2:38" s="59" customFormat="1" ht="13.7" customHeight="1" x14ac:dyDescent="0.2">
      <c r="C24" s="57"/>
      <c r="D24" s="58"/>
      <c r="E24" s="58"/>
      <c r="F24" s="58"/>
      <c r="G24" s="58"/>
      <c r="H24" s="58"/>
      <c r="I24" s="58"/>
      <c r="J24" s="61"/>
      <c r="K24" s="898"/>
      <c r="L24" s="218"/>
      <c r="M24" s="312"/>
      <c r="N24" s="313"/>
      <c r="O24" s="58"/>
      <c r="P24" s="58"/>
      <c r="Q24" s="58"/>
      <c r="R24" s="58"/>
      <c r="S24" s="553" t="s">
        <v>4357</v>
      </c>
      <c r="T24" s="207"/>
      <c r="U24" s="207"/>
      <c r="V24" s="207"/>
      <c r="W24" s="543"/>
      <c r="X24" s="543"/>
      <c r="Y24" s="543"/>
      <c r="Z24" s="543"/>
      <c r="AA24" s="207"/>
      <c r="AB24" s="207"/>
      <c r="AC24" s="207"/>
      <c r="AD24" s="207"/>
      <c r="AE24" s="208"/>
    </row>
    <row r="25" spans="2:38" s="59" customFormat="1" ht="13.7" customHeight="1" x14ac:dyDescent="0.2">
      <c r="C25" s="419" t="s">
        <v>4325</v>
      </c>
      <c r="D25" s="420"/>
      <c r="E25" s="58"/>
      <c r="F25" s="58"/>
      <c r="G25" s="58"/>
      <c r="H25" s="58"/>
      <c r="I25" s="476" t="str">
        <f>AC27</f>
        <v/>
      </c>
      <c r="J25" s="61"/>
      <c r="K25" s="898"/>
      <c r="L25" s="218"/>
      <c r="M25" s="312"/>
      <c r="N25" s="313"/>
      <c r="O25" s="58"/>
      <c r="P25" s="58"/>
      <c r="Q25" s="58"/>
      <c r="S25" s="209"/>
      <c r="T25" s="58"/>
      <c r="U25" s="58"/>
      <c r="V25" s="58"/>
      <c r="W25" s="480" t="str">
        <f>C26</f>
        <v>letztes Jahr</v>
      </c>
      <c r="X25" s="480" t="str">
        <f>C27</f>
        <v>vor 2 Jahren</v>
      </c>
      <c r="Y25" s="480" t="str">
        <f>C28</f>
        <v xml:space="preserve">vor 3 Jahren </v>
      </c>
      <c r="Z25" s="480" t="str">
        <f>C29</f>
        <v>vor 4 Jahren</v>
      </c>
      <c r="AA25" s="58"/>
      <c r="AB25" s="58"/>
      <c r="AC25" s="497" t="s">
        <v>4252</v>
      </c>
      <c r="AD25" s="498"/>
      <c r="AE25" s="544"/>
    </row>
    <row r="26" spans="2:38" s="59" customFormat="1" ht="13.7" customHeight="1" x14ac:dyDescent="0.2">
      <c r="C26" s="424" t="s">
        <v>3938</v>
      </c>
      <c r="D26" s="462"/>
      <c r="E26" s="472" t="str">
        <f>IF(W29=1,W28,"")</f>
        <v/>
      </c>
      <c r="F26" s="492" t="str">
        <f>IF(W29=0,"",AC25)</f>
        <v/>
      </c>
      <c r="G26" s="425"/>
      <c r="H26" s="420"/>
      <c r="I26" s="399" t="s">
        <v>3590</v>
      </c>
      <c r="J26" s="489" t="str">
        <f>IF(W27=0,"",IF(OR(W29=0,I26="Nein"),D26,D27))</f>
        <v/>
      </c>
      <c r="K26" s="898"/>
      <c r="L26" s="487"/>
      <c r="M26" s="312"/>
      <c r="N26" s="313"/>
      <c r="O26" s="58"/>
      <c r="S26" s="209"/>
      <c r="T26" s="58"/>
      <c r="U26" s="58"/>
      <c r="V26" s="58"/>
      <c r="W26" s="545" t="str">
        <f>IF(D26="","",D26)</f>
        <v/>
      </c>
      <c r="X26" s="545" t="str">
        <f>IF(D27="","",D27)</f>
        <v/>
      </c>
      <c r="Y26" s="545" t="str">
        <f>IF(D28="","",D28)</f>
        <v/>
      </c>
      <c r="Z26" s="545" t="str">
        <f>IF(D29="","",D29)</f>
        <v/>
      </c>
      <c r="AA26" s="58"/>
      <c r="AB26" s="496" t="s">
        <v>3779</v>
      </c>
      <c r="AC26" s="497" t="s">
        <v>4326</v>
      </c>
      <c r="AD26" s="498"/>
      <c r="AE26" s="544"/>
    </row>
    <row r="27" spans="2:38" s="59" customFormat="1" ht="13.7" customHeight="1" x14ac:dyDescent="0.2">
      <c r="C27" s="424" t="s">
        <v>16</v>
      </c>
      <c r="D27" s="462"/>
      <c r="E27" s="472" t="str">
        <f>IF(X29=1,X28,"")</f>
        <v/>
      </c>
      <c r="F27" s="492" t="str">
        <f>IF(X29=0,"",AC25)</f>
        <v/>
      </c>
      <c r="G27" s="425"/>
      <c r="H27" s="420"/>
      <c r="I27" s="399" t="s">
        <v>3590</v>
      </c>
      <c r="J27" s="489" t="str">
        <f>IF(X27=0,"",IF(OR(X29=0,I27="Nein"),D27,D28))</f>
        <v/>
      </c>
      <c r="K27" s="898"/>
      <c r="L27" s="487"/>
      <c r="M27" s="312"/>
      <c r="N27" s="313"/>
      <c r="O27" s="58"/>
      <c r="R27" s="58"/>
      <c r="S27" s="209"/>
      <c r="T27" s="58"/>
      <c r="U27" s="58"/>
      <c r="V27" s="433" t="s">
        <v>4249</v>
      </c>
      <c r="W27" s="500">
        <f>IF(W26="",0,1)</f>
        <v>0</v>
      </c>
      <c r="X27" s="500">
        <f>IF(X26="",0,1)</f>
        <v>0</v>
      </c>
      <c r="Y27" s="500">
        <f t="shared" ref="Y27:Z27" si="0">IF(Y26="",0,1)</f>
        <v>0</v>
      </c>
      <c r="Z27" s="500">
        <f t="shared" si="0"/>
        <v>0</v>
      </c>
      <c r="AA27" s="58"/>
      <c r="AB27" s="496" t="s">
        <v>4248</v>
      </c>
      <c r="AC27" s="499" t="str">
        <f>IF(OR(W31="ja",X31="Ja",Y31="Ja"),AC26,"")</f>
        <v/>
      </c>
      <c r="AD27" s="500"/>
      <c r="AE27" s="546"/>
    </row>
    <row r="28" spans="2:38" s="59" customFormat="1" ht="13.7" customHeight="1" x14ac:dyDescent="0.2">
      <c r="C28" s="424" t="s">
        <v>17</v>
      </c>
      <c r="D28" s="462"/>
      <c r="E28" s="472" t="str">
        <f>IF(Y29=1,Y28,"")</f>
        <v/>
      </c>
      <c r="F28" s="492" t="str">
        <f>IF(Y29=0,"",AC25)</f>
        <v/>
      </c>
      <c r="G28" s="425"/>
      <c r="H28" s="420"/>
      <c r="I28" s="399" t="s">
        <v>3590</v>
      </c>
      <c r="J28" s="489" t="str">
        <f>IF(Y27=0,"",IF(OR(Y29=0,I28="Nein"),D28,D29))</f>
        <v/>
      </c>
      <c r="K28" s="898"/>
      <c r="L28" s="487"/>
      <c r="M28" s="312"/>
      <c r="N28" s="313"/>
      <c r="O28" s="58"/>
      <c r="P28" s="58"/>
      <c r="Q28" s="58"/>
      <c r="R28" s="58"/>
      <c r="S28" s="209"/>
      <c r="T28" s="58"/>
      <c r="U28" s="58"/>
      <c r="V28" s="433" t="s">
        <v>4251</v>
      </c>
      <c r="W28" s="547" t="str">
        <f>IF(OR(W27=0,X27=0),"",IF(OR(W26=0,X26=0),100%,(ABS(W26-X26)/X26)))</f>
        <v/>
      </c>
      <c r="X28" s="547" t="str">
        <f t="shared" ref="X28:Y28" si="1">IF(OR(X27=0,Y27=0),"",IF(OR(X26=0,Y26=0),100%,(ABS(X26-Y26)/Y26)))</f>
        <v/>
      </c>
      <c r="Y28" s="547" t="str">
        <f t="shared" si="1"/>
        <v/>
      </c>
      <c r="Z28" s="547"/>
      <c r="AA28" s="58"/>
      <c r="AB28" s="58"/>
      <c r="AC28" s="58"/>
      <c r="AD28" s="58"/>
      <c r="AE28" s="211"/>
    </row>
    <row r="29" spans="2:38" s="59" customFormat="1" ht="13.7" customHeight="1" x14ac:dyDescent="0.2">
      <c r="C29" s="424" t="s">
        <v>18</v>
      </c>
      <c r="D29" s="462"/>
      <c r="E29" s="472"/>
      <c r="F29" s="492"/>
      <c r="G29" s="493"/>
      <c r="H29" s="489"/>
      <c r="I29" s="494" t="s">
        <v>3937</v>
      </c>
      <c r="J29" s="495" t="str">
        <f>IF(OR(W27=0,X27=0,Y27=0),"",(J26+J27+J28)/3)</f>
        <v/>
      </c>
      <c r="K29" s="898"/>
      <c r="L29" s="487"/>
      <c r="M29" s="312"/>
      <c r="N29" s="313"/>
      <c r="O29" s="58"/>
      <c r="P29" s="58"/>
      <c r="Q29" s="58"/>
      <c r="R29" s="58"/>
      <c r="S29" s="209"/>
      <c r="T29" s="58"/>
      <c r="U29" s="433" t="s">
        <v>4250</v>
      </c>
      <c r="V29" s="548">
        <v>0.2</v>
      </c>
      <c r="W29" s="500">
        <f>IF(AND(W27=1,X27=1,W28&gt;$V$29),1,0)</f>
        <v>0</v>
      </c>
      <c r="X29" s="500">
        <f t="shared" ref="X29:Y29" si="2">IF(AND(X27=1,Y27=1,X28&gt;$V$29),1,0)</f>
        <v>0</v>
      </c>
      <c r="Y29" s="500">
        <f t="shared" si="2"/>
        <v>0</v>
      </c>
      <c r="Z29" s="500"/>
      <c r="AA29" s="58"/>
      <c r="AB29" s="58"/>
      <c r="AC29" s="58"/>
      <c r="AD29" s="58"/>
      <c r="AE29" s="211"/>
    </row>
    <row r="30" spans="2:38" s="59" customFormat="1" ht="13.7" customHeight="1" x14ac:dyDescent="0.2">
      <c r="C30" s="57"/>
      <c r="D30" s="58"/>
      <c r="E30" s="58"/>
      <c r="F30" s="58"/>
      <c r="G30" s="58"/>
      <c r="H30" s="58"/>
      <c r="I30" s="58"/>
      <c r="J30" s="61"/>
      <c r="K30" s="898"/>
      <c r="L30" s="218"/>
      <c r="M30" s="312"/>
      <c r="N30" s="313"/>
      <c r="O30" s="58"/>
      <c r="P30" s="58"/>
      <c r="Q30" s="58"/>
      <c r="R30" s="58"/>
      <c r="S30" s="209"/>
      <c r="T30" s="58"/>
      <c r="U30" s="58"/>
      <c r="V30" s="549" t="s">
        <v>4247</v>
      </c>
      <c r="W30" s="550" t="str">
        <f>IF(W$29=1,"Nein","")</f>
        <v/>
      </c>
      <c r="X30" s="550" t="str">
        <f t="shared" ref="X30:Y30" si="3">IF(X$29=1,"Nein","")</f>
        <v/>
      </c>
      <c r="Y30" s="550" t="str">
        <f t="shared" si="3"/>
        <v/>
      </c>
      <c r="Z30" s="500"/>
      <c r="AA30" s="58"/>
      <c r="AB30" s="58"/>
      <c r="AC30" s="58"/>
      <c r="AD30" s="58"/>
      <c r="AE30" s="211"/>
    </row>
    <row r="31" spans="2:38" s="59" customFormat="1" ht="13.7" customHeight="1" x14ac:dyDescent="0.2">
      <c r="C31" s="501" t="s">
        <v>3939</v>
      </c>
      <c r="D31" s="425"/>
      <c r="E31" s="425"/>
      <c r="F31" s="425"/>
      <c r="G31" s="420"/>
      <c r="H31" s="419"/>
      <c r="I31" s="502" t="s">
        <v>3487</v>
      </c>
      <c r="J31" s="462"/>
      <c r="K31" s="898"/>
      <c r="L31" s="218"/>
      <c r="M31" s="312"/>
      <c r="N31" s="313"/>
      <c r="O31" s="58"/>
      <c r="P31" s="58"/>
      <c r="Q31" s="58"/>
      <c r="R31" s="58"/>
      <c r="S31" s="212"/>
      <c r="T31" s="214"/>
      <c r="U31" s="214"/>
      <c r="V31" s="214" t="s">
        <v>3838</v>
      </c>
      <c r="W31" s="551" t="str">
        <f>IF(W$29=1,"Ja","")</f>
        <v/>
      </c>
      <c r="X31" s="551" t="str">
        <f t="shared" ref="X31:Y31" si="4">IF(X$29=1,"Ja","")</f>
        <v/>
      </c>
      <c r="Y31" s="551" t="str">
        <f t="shared" si="4"/>
        <v/>
      </c>
      <c r="Z31" s="552"/>
      <c r="AA31" s="214"/>
      <c r="AB31" s="214"/>
      <c r="AC31" s="214"/>
      <c r="AD31" s="214"/>
      <c r="AE31" s="215"/>
    </row>
    <row r="32" spans="2:38" s="59" customFormat="1" ht="13.7" customHeight="1" x14ac:dyDescent="0.2">
      <c r="C32" s="57"/>
      <c r="D32" s="58"/>
      <c r="E32" s="58"/>
      <c r="F32" s="58"/>
      <c r="G32" s="58"/>
      <c r="H32" s="58"/>
      <c r="I32" s="58"/>
      <c r="J32" s="61"/>
      <c r="K32" s="898"/>
      <c r="L32" s="218"/>
      <c r="M32" s="312"/>
      <c r="N32" s="313"/>
      <c r="O32" s="58"/>
      <c r="P32" s="58"/>
      <c r="Q32" s="58"/>
      <c r="R32" s="58"/>
      <c r="S32" s="58"/>
      <c r="T32" s="58"/>
      <c r="W32" s="198"/>
      <c r="X32" s="198"/>
      <c r="Y32" s="198"/>
      <c r="Z32" s="198"/>
    </row>
    <row r="33" spans="2:26" s="59" customFormat="1" ht="13.7" customHeight="1" x14ac:dyDescent="0.2">
      <c r="C33" s="334" t="s">
        <v>4719</v>
      </c>
      <c r="D33" s="335"/>
      <c r="E33" s="335"/>
      <c r="F33" s="335"/>
      <c r="G33" s="335"/>
      <c r="H33" s="335"/>
      <c r="I33" s="335"/>
      <c r="J33" s="336"/>
      <c r="K33" s="898"/>
      <c r="L33" s="218"/>
      <c r="M33" s="312"/>
      <c r="N33" s="313"/>
      <c r="O33" s="58"/>
      <c r="Q33" s="58"/>
      <c r="S33" s="58"/>
      <c r="T33" s="58"/>
      <c r="W33" s="198"/>
      <c r="X33" s="198"/>
      <c r="Y33" s="198"/>
      <c r="Z33" s="198"/>
    </row>
    <row r="34" spans="2:26" s="59" customFormat="1" ht="13.7" customHeight="1" x14ac:dyDescent="0.2">
      <c r="C34" s="57"/>
      <c r="D34" s="58"/>
      <c r="E34" s="58"/>
      <c r="F34" s="58"/>
      <c r="G34" s="58"/>
      <c r="H34" s="58"/>
      <c r="I34" s="58"/>
      <c r="J34" s="61"/>
      <c r="K34" s="898"/>
      <c r="L34" s="218"/>
      <c r="M34" s="312"/>
      <c r="N34" s="313"/>
      <c r="O34" s="58"/>
      <c r="P34" s="58"/>
      <c r="Q34" s="58"/>
      <c r="R34" s="58"/>
      <c r="S34" s="58"/>
      <c r="T34" s="58"/>
      <c r="W34" s="198"/>
      <c r="X34" s="198"/>
      <c r="Y34" s="198"/>
      <c r="Z34" s="198"/>
    </row>
    <row r="35" spans="2:26" s="59" customFormat="1" ht="13.7" customHeight="1" x14ac:dyDescent="0.2">
      <c r="C35" s="419" t="s">
        <v>4321</v>
      </c>
      <c r="D35" s="425"/>
      <c r="E35" s="420"/>
      <c r="F35" s="420"/>
      <c r="G35" s="462"/>
      <c r="I35" s="423" t="s">
        <v>4782</v>
      </c>
      <c r="J35" s="61"/>
      <c r="K35" s="898"/>
      <c r="L35" s="218"/>
      <c r="M35" s="312"/>
      <c r="N35" s="313"/>
      <c r="O35" s="58"/>
      <c r="P35" s="58"/>
      <c r="Q35" s="58"/>
      <c r="R35" s="58"/>
      <c r="S35" s="58"/>
      <c r="T35" s="58"/>
      <c r="W35" s="198"/>
      <c r="X35" s="198"/>
      <c r="Y35" s="198"/>
      <c r="Z35" s="198"/>
    </row>
    <row r="36" spans="2:26" s="59" customFormat="1" ht="13.7" customHeight="1" x14ac:dyDescent="0.2">
      <c r="C36" s="57"/>
      <c r="D36" s="58"/>
      <c r="E36" s="58"/>
      <c r="F36" s="58"/>
      <c r="G36" s="58"/>
      <c r="H36" s="58"/>
      <c r="I36" s="58"/>
      <c r="J36" s="61"/>
      <c r="K36" s="898"/>
      <c r="L36" s="218"/>
      <c r="M36" s="312"/>
      <c r="N36" s="313"/>
      <c r="O36" s="58"/>
      <c r="P36" s="58"/>
      <c r="Q36" s="58"/>
      <c r="R36" s="58"/>
      <c r="S36" s="58"/>
      <c r="T36" s="58"/>
      <c r="W36" s="198"/>
      <c r="X36" s="198"/>
      <c r="Y36" s="198"/>
      <c r="Z36" s="198"/>
    </row>
    <row r="37" spans="2:26" s="59" customFormat="1" ht="13.7" customHeight="1" x14ac:dyDescent="0.2">
      <c r="C37" s="334" t="s">
        <v>3576</v>
      </c>
      <c r="D37" s="335"/>
      <c r="E37" s="335"/>
      <c r="F37" s="335"/>
      <c r="G37" s="335"/>
      <c r="H37" s="335"/>
      <c r="I37" s="335"/>
      <c r="J37" s="336"/>
      <c r="K37" s="898"/>
      <c r="L37" s="218"/>
      <c r="M37" s="312"/>
      <c r="N37" s="313"/>
      <c r="O37" s="58"/>
      <c r="P37" s="58"/>
      <c r="Q37" s="58"/>
      <c r="R37" s="58"/>
      <c r="S37" s="58"/>
      <c r="T37" s="58"/>
      <c r="W37" s="198"/>
      <c r="X37" s="198"/>
      <c r="Y37" s="198"/>
      <c r="Z37" s="198"/>
    </row>
    <row r="38" spans="2:26" s="59" customFormat="1" ht="13.7" customHeight="1" x14ac:dyDescent="0.2">
      <c r="C38" s="503"/>
      <c r="D38" s="487"/>
      <c r="E38" s="487"/>
      <c r="F38" s="487"/>
      <c r="G38" s="487"/>
      <c r="H38" s="487"/>
      <c r="I38" s="487"/>
      <c r="J38" s="488"/>
      <c r="K38" s="898"/>
      <c r="L38" s="218"/>
      <c r="M38" s="312"/>
      <c r="N38" s="313"/>
      <c r="O38" s="58"/>
      <c r="W38" s="198"/>
      <c r="X38" s="198"/>
      <c r="Y38" s="198"/>
      <c r="Z38" s="198"/>
    </row>
    <row r="39" spans="2:26" s="59" customFormat="1" ht="13.7" customHeight="1" x14ac:dyDescent="0.2">
      <c r="C39" s="489" t="s">
        <v>4319</v>
      </c>
      <c r="D39" s="490"/>
      <c r="E39" s="487"/>
      <c r="F39" s="487"/>
      <c r="G39" s="491"/>
      <c r="H39" s="487"/>
      <c r="I39" s="58"/>
      <c r="J39" s="61"/>
      <c r="K39" s="898"/>
      <c r="L39" s="218"/>
      <c r="M39" s="312"/>
      <c r="N39" s="313"/>
      <c r="O39" s="58"/>
      <c r="P39" s="58"/>
      <c r="Q39" s="58"/>
      <c r="R39" s="58"/>
      <c r="S39" s="58"/>
      <c r="T39" s="58"/>
      <c r="W39" s="198"/>
      <c r="X39" s="198"/>
      <c r="Y39" s="198"/>
      <c r="Z39" s="198"/>
    </row>
    <row r="40" spans="2:26" s="59" customFormat="1" ht="19.5" customHeight="1" thickBot="1" x14ac:dyDescent="0.4">
      <c r="C40" s="57"/>
      <c r="D40" s="487"/>
      <c r="E40" s="487"/>
      <c r="F40" s="487"/>
      <c r="G40" s="491"/>
      <c r="H40" s="149" t="s">
        <v>4829</v>
      </c>
      <c r="I40" s="425"/>
      <c r="J40" s="420"/>
      <c r="K40" s="898"/>
      <c r="L40" s="484" t="s">
        <v>3577</v>
      </c>
      <c r="M40" s="464">
        <v>4</v>
      </c>
      <c r="N40" s="465">
        <v>4</v>
      </c>
      <c r="O40" s="423" t="s">
        <v>3679</v>
      </c>
      <c r="P40" s="58"/>
      <c r="Q40" s="58"/>
      <c r="R40" s="58"/>
      <c r="S40" s="58"/>
      <c r="T40" s="58"/>
      <c r="W40" s="198"/>
      <c r="X40" s="198"/>
      <c r="Y40" s="198"/>
      <c r="Z40" s="198"/>
    </row>
    <row r="41" spans="2:26" s="59" customFormat="1" ht="13.7" customHeight="1" thickBot="1" x14ac:dyDescent="0.25">
      <c r="C41" s="424" t="s">
        <v>20</v>
      </c>
      <c r="E41" s="424" t="s">
        <v>4914</v>
      </c>
      <c r="F41" s="424" t="s">
        <v>22</v>
      </c>
      <c r="G41" s="420"/>
      <c r="H41" s="426" t="s">
        <v>23</v>
      </c>
      <c r="I41" s="427" t="s">
        <v>24</v>
      </c>
      <c r="J41" s="428" t="s">
        <v>4828</v>
      </c>
      <c r="K41" s="898"/>
      <c r="L41" s="1672" t="s">
        <v>20</v>
      </c>
      <c r="M41" s="464">
        <v>2</v>
      </c>
      <c r="N41" s="465">
        <v>2</v>
      </c>
      <c r="O41" s="423" t="s">
        <v>3680</v>
      </c>
      <c r="P41" s="58"/>
      <c r="Q41" s="58"/>
      <c r="R41" s="58"/>
      <c r="S41" s="58"/>
      <c r="T41" s="58"/>
      <c r="U41" s="1022" t="str">
        <f>IF(Kulturen!H228=1,"*","")</f>
        <v/>
      </c>
      <c r="V41" s="59" t="s">
        <v>4511</v>
      </c>
      <c r="W41" s="198"/>
      <c r="X41" s="198"/>
      <c r="Y41" s="198"/>
      <c r="Z41" s="198"/>
    </row>
    <row r="42" spans="2:26" s="59" customFormat="1" ht="13.7" customHeight="1" x14ac:dyDescent="0.2">
      <c r="C42" s="419"/>
      <c r="D42" s="425"/>
      <c r="E42" s="504"/>
      <c r="F42" s="490"/>
      <c r="G42" s="420"/>
      <c r="H42" s="505"/>
      <c r="I42" s="505"/>
      <c r="J42" s="505"/>
      <c r="K42" s="898"/>
      <c r="L42" s="1672" t="s">
        <v>3370</v>
      </c>
      <c r="M42" s="464">
        <v>31</v>
      </c>
      <c r="N42" s="465">
        <v>31</v>
      </c>
      <c r="O42" s="423" t="s">
        <v>3892</v>
      </c>
      <c r="P42" s="58"/>
      <c r="Q42" s="58"/>
      <c r="R42" s="58"/>
      <c r="S42" s="58"/>
      <c r="T42" s="58"/>
      <c r="W42" s="198"/>
      <c r="X42" s="198"/>
      <c r="Y42" s="198"/>
      <c r="Z42" s="198"/>
    </row>
    <row r="43" spans="2:26" s="59" customFormat="1" x14ac:dyDescent="0.2">
      <c r="B43" s="221"/>
      <c r="C43" s="1873" t="str">
        <f>IF(AND(E42&lt;0.3,OR(M40=6,M40=7)),"Der Humusgehalt von Moorböden beträgt &gt;= 30%. Bitte korrigieren Sie Ihre Eingaben.","")</f>
        <v/>
      </c>
      <c r="D43" s="1874"/>
      <c r="E43" s="1874"/>
      <c r="F43" s="1874"/>
      <c r="G43" s="1874"/>
      <c r="H43" s="1874"/>
      <c r="I43" s="1874"/>
      <c r="J43" s="1875"/>
      <c r="K43" s="898"/>
      <c r="L43" s="218"/>
      <c r="M43" s="312"/>
      <c r="N43" s="313"/>
      <c r="O43" s="423" t="s">
        <v>4133</v>
      </c>
      <c r="P43" s="58"/>
      <c r="Q43" s="58"/>
      <c r="R43" s="58"/>
      <c r="S43" s="58"/>
      <c r="T43" s="58"/>
      <c r="W43" s="198"/>
      <c r="X43" s="198"/>
      <c r="Y43" s="198"/>
      <c r="Z43" s="198"/>
    </row>
    <row r="44" spans="2:26" s="59" customFormat="1" ht="13.7" customHeight="1" x14ac:dyDescent="0.2">
      <c r="C44" s="334" t="s">
        <v>4529</v>
      </c>
      <c r="D44" s="335"/>
      <c r="E44" s="335"/>
      <c r="F44" s="335"/>
      <c r="G44" s="335"/>
      <c r="H44" s="335"/>
      <c r="I44" s="335"/>
      <c r="J44" s="336"/>
      <c r="K44" s="898"/>
      <c r="L44" s="218"/>
      <c r="M44" s="312"/>
      <c r="N44" s="313"/>
      <c r="P44" s="58"/>
      <c r="Q44" s="58"/>
      <c r="R44" s="58"/>
      <c r="S44" s="58"/>
      <c r="T44" s="58"/>
      <c r="W44" s="198"/>
      <c r="X44" s="198"/>
      <c r="Y44" s="198"/>
      <c r="Z44" s="198"/>
    </row>
    <row r="45" spans="2:26" s="59" customFormat="1" ht="27.95" customHeight="1" x14ac:dyDescent="0.2">
      <c r="C45" s="1876" t="str">
        <f>IF(OR(AND(M49&gt;42,M49&lt;57),AND(M52&gt;42,M52&lt;57)),HYPERLINK("#Due_org!f13","Bitte legen Sie, soweit vorhanden, im Registerblatt ''Due_org'' Ihren Dünger und die Nährstoffgehaltswerte gemäß Kennzeichnung an. Die hinterlegten Tabellenwerte können von Ihren tatsächlichen Werten erheblich abweichen."),"")</f>
        <v/>
      </c>
      <c r="D45" s="1877"/>
      <c r="E45" s="1877"/>
      <c r="F45" s="1877"/>
      <c r="G45" s="1877"/>
      <c r="H45" s="1877"/>
      <c r="I45" s="1877"/>
      <c r="J45" s="1878"/>
      <c r="K45" s="898"/>
      <c r="L45" s="218"/>
      <c r="M45" s="312"/>
      <c r="N45" s="313"/>
      <c r="O45" s="58"/>
      <c r="P45" s="58"/>
      <c r="Q45" s="58"/>
      <c r="R45" s="58"/>
      <c r="S45" s="58"/>
      <c r="T45" s="58"/>
      <c r="W45" s="198"/>
      <c r="X45" s="198"/>
      <c r="Y45" s="198"/>
      <c r="Z45" s="198"/>
    </row>
    <row r="46" spans="2:26" s="59" customFormat="1" ht="13.7" customHeight="1" x14ac:dyDescent="0.2">
      <c r="C46" s="507" t="s">
        <v>4912</v>
      </c>
      <c r="D46" s="58"/>
      <c r="E46" s="58"/>
      <c r="F46" s="58"/>
      <c r="G46" s="58"/>
      <c r="H46" s="58"/>
      <c r="I46" s="58"/>
      <c r="J46" s="61"/>
      <c r="K46" s="898"/>
      <c r="L46" s="218"/>
      <c r="M46" s="312"/>
      <c r="N46" s="313"/>
      <c r="O46" s="58"/>
      <c r="P46" s="58"/>
      <c r="Q46" s="58"/>
      <c r="R46" s="58"/>
      <c r="S46" s="58"/>
      <c r="T46" s="58"/>
      <c r="W46" s="198"/>
      <c r="X46" s="198"/>
      <c r="Y46" s="198"/>
      <c r="Z46" s="198"/>
    </row>
    <row r="47" spans="2:26" s="59" customFormat="1" ht="13.7" customHeight="1" x14ac:dyDescent="0.2">
      <c r="C47" s="419" t="s">
        <v>4317</v>
      </c>
      <c r="D47" s="425"/>
      <c r="E47" s="425"/>
      <c r="F47" s="425"/>
      <c r="G47" s="425"/>
      <c r="H47" s="466" t="s">
        <v>4318</v>
      </c>
      <c r="I47" s="460"/>
      <c r="J47" s="468" t="s">
        <v>4714</v>
      </c>
      <c r="K47" s="898"/>
      <c r="L47" s="218"/>
      <c r="M47" s="312"/>
      <c r="N47" s="313"/>
      <c r="P47" s="58"/>
      <c r="Q47" s="58"/>
      <c r="R47" s="58"/>
      <c r="S47" s="58"/>
      <c r="T47" s="58"/>
      <c r="W47" s="198"/>
      <c r="X47" s="198"/>
      <c r="Y47" s="198"/>
      <c r="Z47" s="198"/>
    </row>
    <row r="48" spans="2:26" s="59" customFormat="1" ht="13.7" customHeight="1" x14ac:dyDescent="0.2">
      <c r="C48" s="419"/>
      <c r="D48" s="425"/>
      <c r="E48" s="425"/>
      <c r="F48" s="425"/>
      <c r="G48" s="425"/>
      <c r="H48" s="462"/>
      <c r="I48" s="419"/>
      <c r="J48" s="506"/>
      <c r="K48" s="901"/>
      <c r="L48" s="218"/>
      <c r="M48" s="312"/>
      <c r="N48" s="313"/>
      <c r="P48" s="58"/>
      <c r="Q48" s="58"/>
      <c r="R48" s="58"/>
      <c r="S48" s="58"/>
      <c r="T48" s="58"/>
      <c r="W48" s="198"/>
      <c r="X48" s="198"/>
      <c r="Y48" s="198"/>
      <c r="Z48" s="198"/>
    </row>
    <row r="49" spans="2:26" s="59" customFormat="1" ht="28.5" customHeight="1" x14ac:dyDescent="0.2">
      <c r="C49" s="1721" t="str">
        <f>IF(AND(NOT(M49=1),H48=""),"Düngemittel ausgewählt; Menge fehlt!","")</f>
        <v/>
      </c>
      <c r="D49" s="487"/>
      <c r="E49" s="491"/>
      <c r="F49" s="1879" t="str">
        <f>IF(OR(AND(M49=16,OR(J48&gt;0,Due_org!$R$27=1)),AND(M49=17,OR(J48&gt;0,Due_org!$R$28=1)),AND(M49=38,OR(J48&gt;0,Due_org!$R$49=1)),AND(M49=39,OR(J48&gt;0,Due_org!$R$50=1)),AND(M49=40,OR(J48&gt;0,Due_org!$R$51=1)),AND(M49=41,OR(J48&gt;0,Due_org!$R$52=1)),AND(M49=42,OR(J48&gt;0,Due_org!$R$53=1)),AND(M49=57,OR(J48&gt;0,Due_org!$R$68=1)),AND(M49=58,OR(J48&gt;0,Due_org!$R$69=1))),"",IF(OR(M49=16,M49=17,M49=38,M49=39,M49=40,M49=41,M49=42,M49=57,M49=58),IF(H48=0,"",HYPERLINK("#Due_org!f49","Bitte für die Berechnung erforderlichen Analysewerte im 
Registerblatt Due_org oder unter ''Eigenanalyse'' eingeben!")),""))</f>
        <v/>
      </c>
      <c r="G49" s="1880"/>
      <c r="H49" s="1880"/>
      <c r="I49" s="1880"/>
      <c r="J49" s="1881"/>
      <c r="K49" s="898"/>
      <c r="L49" s="1672" t="s">
        <v>3678</v>
      </c>
      <c r="M49" s="464">
        <v>1</v>
      </c>
      <c r="N49" s="465">
        <v>1</v>
      </c>
      <c r="O49" s="423" t="s">
        <v>3676</v>
      </c>
      <c r="P49" s="58"/>
      <c r="Q49" s="58" t="s">
        <v>3682</v>
      </c>
      <c r="R49" s="58"/>
      <c r="S49" s="58"/>
      <c r="T49" s="58"/>
      <c r="U49" s="216" t="b">
        <f>NOT(OR(M49=1,M49=17))</f>
        <v>0</v>
      </c>
      <c r="V49" s="216" t="s">
        <v>4379</v>
      </c>
      <c r="W49" s="618"/>
      <c r="X49" s="618"/>
      <c r="Y49" s="618"/>
      <c r="Z49" s="618"/>
    </row>
    <row r="50" spans="2:26" s="59" customFormat="1" ht="13.7" customHeight="1" x14ac:dyDescent="0.2">
      <c r="C50" s="507" t="s">
        <v>4316</v>
      </c>
      <c r="D50" s="508"/>
      <c r="E50" s="70"/>
      <c r="F50" s="58"/>
      <c r="G50" s="58"/>
      <c r="H50" s="58"/>
      <c r="I50" s="1871"/>
      <c r="J50" s="1872"/>
      <c r="K50" s="898"/>
      <c r="L50" s="218"/>
      <c r="M50" s="312"/>
      <c r="N50" s="313"/>
      <c r="O50" s="58"/>
      <c r="P50" s="58"/>
      <c r="Q50" s="58" t="s">
        <v>3688</v>
      </c>
      <c r="R50" s="58"/>
      <c r="S50" s="58"/>
      <c r="T50" s="58"/>
      <c r="W50" s="198"/>
      <c r="X50" s="198"/>
      <c r="Y50" s="198"/>
      <c r="Z50" s="198"/>
    </row>
    <row r="51" spans="2:26" s="59" customFormat="1" ht="13.7" customHeight="1" x14ac:dyDescent="0.2">
      <c r="C51" s="419" t="s">
        <v>4317</v>
      </c>
      <c r="D51" s="425"/>
      <c r="E51" s="425"/>
      <c r="F51" s="420"/>
      <c r="G51" s="460"/>
      <c r="H51" s="461" t="s">
        <v>4318</v>
      </c>
      <c r="I51" s="460"/>
      <c r="J51" s="461" t="s">
        <v>4714</v>
      </c>
      <c r="K51" s="898"/>
      <c r="L51" s="218"/>
      <c r="M51" s="312"/>
      <c r="N51" s="313"/>
      <c r="O51" s="58"/>
      <c r="P51" s="58"/>
      <c r="Q51" s="58"/>
      <c r="R51" s="58"/>
      <c r="S51" s="58"/>
      <c r="T51" s="58"/>
      <c r="W51" s="198"/>
      <c r="X51" s="198"/>
      <c r="Y51" s="198"/>
      <c r="Z51" s="198"/>
    </row>
    <row r="52" spans="2:26" s="59" customFormat="1" ht="13.7" customHeight="1" x14ac:dyDescent="0.2">
      <c r="C52" s="419"/>
      <c r="D52" s="425"/>
      <c r="E52" s="425"/>
      <c r="F52" s="425"/>
      <c r="G52" s="425"/>
      <c r="H52" s="462"/>
      <c r="I52" s="509"/>
      <c r="J52" s="462"/>
      <c r="K52" s="898"/>
      <c r="L52" s="1672" t="s">
        <v>4313</v>
      </c>
      <c r="M52" s="464">
        <v>1</v>
      </c>
      <c r="N52" s="465">
        <v>1</v>
      </c>
      <c r="O52" s="423" t="s">
        <v>3683</v>
      </c>
      <c r="P52" s="58"/>
      <c r="Q52" s="58"/>
      <c r="R52" s="58"/>
      <c r="S52" s="58"/>
      <c r="T52" s="58"/>
      <c r="W52" s="198"/>
      <c r="X52" s="198"/>
      <c r="Y52" s="198"/>
      <c r="Z52" s="198"/>
    </row>
    <row r="53" spans="2:26" s="59" customFormat="1" ht="27.75" customHeight="1" x14ac:dyDescent="0.2">
      <c r="B53" s="218"/>
      <c r="C53" s="1724" t="str">
        <f>IF(AND(NOT(M52=1),H52=""),"Düngemittel ausgewählt; Menge fehlt!","")</f>
        <v/>
      </c>
      <c r="D53" s="58"/>
      <c r="E53" s="58"/>
      <c r="F53" s="1879" t="str">
        <f>IF(OR(AND(M52=16,OR(J52&gt;0,Due_org!$R$27=1)),AND(M52=17,OR(J52&gt;0,Due_org!$R$28=1)),AND(M52=38,OR(J52&gt;0,Due_org!$R$49=1)),AND(M52=39,OR(J52&gt;0,Due_org!$R$50=1)),AND(M52=40,OR(J52&gt;0,Due_org!$R$51=1)),AND(M52=41,OR(J52&gt;0,Due_org!$R$52=1)),AND(M52=42,OR(J52&gt;0,Due_org!$R$53=1)),AND(M52=57,OR(J52&gt;0,Due_org!$R$68=1)),AND(M52=58,OR(J52&gt;0,Due_org!$R$69=1))),"",IF(OR(M52=16,M52=17,M52=38,M52=39,M52=40,M52=41,M52=42,M52=57,M52=58),IF(H52=0,"",HYPERLINK("#Due_org!f49","Bitte für die Berechnung erforderlichen Analysewerte im 
Registerblatt Due_org oder unter ''Eigenanalyse'' eingeben!")),""))</f>
        <v/>
      </c>
      <c r="G53" s="1880"/>
      <c r="H53" s="1880"/>
      <c r="I53" s="1880"/>
      <c r="J53" s="1881"/>
      <c r="K53" s="898"/>
      <c r="L53" s="218"/>
      <c r="M53" s="312"/>
      <c r="N53" s="313"/>
      <c r="O53" s="58"/>
      <c r="P53" s="58"/>
      <c r="Q53" s="58"/>
      <c r="R53" s="58"/>
      <c r="S53" s="58"/>
      <c r="T53" s="58"/>
      <c r="W53" s="198"/>
      <c r="X53" s="198"/>
      <c r="Y53" s="198"/>
      <c r="Z53" s="198"/>
    </row>
    <row r="54" spans="2:26" s="59" customFormat="1" ht="13.7" customHeight="1" x14ac:dyDescent="0.2">
      <c r="B54" s="218"/>
      <c r="C54" s="507" t="s">
        <v>4528</v>
      </c>
      <c r="D54" s="508"/>
      <c r="E54" s="70"/>
      <c r="F54" s="1519" t="str">
        <f>IF(J21="","","Frühjahr "&amp;$J$21-1)</f>
        <v/>
      </c>
      <c r="G54" s="460" t="str">
        <f>IF(J21="","",$J$21-2)</f>
        <v/>
      </c>
      <c r="H54" s="460" t="str">
        <f>IF(J21="","",$J$21-3)</f>
        <v/>
      </c>
      <c r="I54" s="1871"/>
      <c r="J54" s="1872"/>
      <c r="K54" s="898"/>
      <c r="L54" s="218"/>
      <c r="M54" s="312"/>
      <c r="N54" s="313"/>
      <c r="O54" s="58"/>
      <c r="P54" s="58"/>
      <c r="Q54" s="58" t="s">
        <v>3688</v>
      </c>
      <c r="R54" s="58"/>
      <c r="S54" s="58"/>
      <c r="T54" s="58"/>
      <c r="W54" s="198"/>
      <c r="X54" s="198"/>
      <c r="Y54" s="198"/>
      <c r="Z54" s="198"/>
    </row>
    <row r="55" spans="2:26" s="59" customFormat="1" ht="13.7" customHeight="1" x14ac:dyDescent="0.2">
      <c r="B55" s="218"/>
      <c r="C55" s="419" t="s">
        <v>4317</v>
      </c>
      <c r="D55" s="425"/>
      <c r="E55" s="425"/>
      <c r="F55" s="419"/>
      <c r="G55" s="425"/>
      <c r="H55" s="1520" t="s">
        <v>4527</v>
      </c>
      <c r="I55" s="532"/>
      <c r="J55" s="461" t="s">
        <v>4715</v>
      </c>
      <c r="K55" s="898"/>
      <c r="L55" s="218"/>
      <c r="M55" s="312"/>
      <c r="N55" s="313"/>
      <c r="O55" s="58"/>
      <c r="P55" s="58"/>
      <c r="Q55" s="58"/>
      <c r="R55" s="58"/>
      <c r="S55" s="58"/>
      <c r="T55" s="58"/>
      <c r="W55" s="198"/>
      <c r="X55" s="198"/>
      <c r="Y55" s="198"/>
      <c r="Z55" s="198"/>
    </row>
    <row r="56" spans="2:26" s="59" customFormat="1" ht="13.7" customHeight="1" x14ac:dyDescent="0.2">
      <c r="B56" s="218"/>
      <c r="C56" s="419"/>
      <c r="D56" s="425"/>
      <c r="E56" s="425"/>
      <c r="F56" s="462"/>
      <c r="G56" s="462"/>
      <c r="H56" s="462"/>
      <c r="I56" s="509"/>
      <c r="J56" s="462"/>
      <c r="K56" s="898"/>
      <c r="L56" s="1672" t="s">
        <v>4313</v>
      </c>
      <c r="M56" s="464">
        <v>4</v>
      </c>
      <c r="N56" s="465">
        <v>4</v>
      </c>
      <c r="O56" s="423" t="s">
        <v>3683</v>
      </c>
      <c r="P56" s="58"/>
      <c r="Q56" s="58"/>
      <c r="R56" s="58"/>
      <c r="S56" s="58"/>
      <c r="T56" s="58"/>
      <c r="W56" s="198"/>
      <c r="X56" s="198"/>
      <c r="Y56" s="198"/>
      <c r="Z56" s="198"/>
    </row>
    <row r="57" spans="2:26" s="59" customFormat="1" ht="13.7" customHeight="1" x14ac:dyDescent="0.2">
      <c r="B57" s="218"/>
      <c r="C57" s="904" t="str">
        <f>IF(AND(NOT(M56=4),OR(F56="",G56="",H56="",)),"Düngemittel ausgewählt; Menge fehlt - Null ist ggf. einzutragen!","")</f>
        <v/>
      </c>
      <c r="D57" s="58"/>
      <c r="E57" s="58"/>
      <c r="F57" s="58"/>
      <c r="G57" s="58"/>
      <c r="H57" s="58"/>
      <c r="I57" s="58"/>
      <c r="J57" s="61"/>
      <c r="K57" s="898"/>
      <c r="L57" s="218"/>
      <c r="M57" s="312"/>
      <c r="N57" s="313"/>
      <c r="O57" s="58"/>
      <c r="P57" s="58"/>
      <c r="Q57" s="58"/>
      <c r="R57" s="58"/>
      <c r="S57" s="58"/>
      <c r="T57" s="58"/>
      <c r="W57" s="198"/>
      <c r="X57" s="198"/>
      <c r="Y57" s="198"/>
      <c r="Z57" s="198"/>
    </row>
    <row r="58" spans="2:26" s="59" customFormat="1" ht="13.7" customHeight="1" x14ac:dyDescent="0.2">
      <c r="B58" s="218"/>
      <c r="C58" s="334" t="s">
        <v>3574</v>
      </c>
      <c r="D58" s="335"/>
      <c r="E58" s="335"/>
      <c r="F58" s="335"/>
      <c r="G58" s="335"/>
      <c r="H58" s="335"/>
      <c r="I58" s="335"/>
      <c r="J58" s="336"/>
      <c r="K58" s="898"/>
      <c r="L58" s="218"/>
      <c r="M58" s="312"/>
      <c r="N58" s="313"/>
      <c r="O58" s="58"/>
      <c r="P58" s="58"/>
      <c r="Q58" s="58"/>
      <c r="R58" s="58"/>
      <c r="S58" s="58"/>
      <c r="T58" s="58"/>
      <c r="W58" s="198"/>
      <c r="X58" s="198"/>
      <c r="Y58" s="198"/>
      <c r="Z58" s="198"/>
    </row>
    <row r="59" spans="2:26" s="59" customFormat="1" ht="13.7" customHeight="1" x14ac:dyDescent="0.2">
      <c r="B59" s="218"/>
      <c r="C59" s="57"/>
      <c r="D59" s="58"/>
      <c r="E59" s="58"/>
      <c r="F59" s="58"/>
      <c r="G59" s="58"/>
      <c r="H59" s="58"/>
      <c r="I59" s="58"/>
      <c r="J59" s="61"/>
      <c r="K59" s="898"/>
      <c r="L59" s="218"/>
      <c r="M59" s="312"/>
      <c r="N59" s="313"/>
      <c r="O59" s="58"/>
      <c r="P59" s="58"/>
      <c r="Q59" s="58"/>
      <c r="R59" s="58"/>
      <c r="S59" s="58"/>
      <c r="T59" s="58"/>
      <c r="W59" s="198"/>
      <c r="X59" s="198"/>
      <c r="Y59" s="198"/>
      <c r="Z59" s="198"/>
    </row>
    <row r="60" spans="2:26" s="59" customFormat="1" ht="13.7" customHeight="1" x14ac:dyDescent="0.2">
      <c r="B60" s="218"/>
      <c r="C60" s="424" t="s">
        <v>4322</v>
      </c>
      <c r="D60" s="485"/>
      <c r="E60" s="486"/>
      <c r="F60" s="58"/>
      <c r="G60" s="467" t="s">
        <v>4744</v>
      </c>
      <c r="H60" s="425"/>
      <c r="I60" s="425"/>
      <c r="J60" s="420"/>
      <c r="K60" s="898"/>
      <c r="L60" s="1672" t="s">
        <v>3671</v>
      </c>
      <c r="M60" s="464">
        <v>1</v>
      </c>
      <c r="N60" s="465">
        <v>1</v>
      </c>
      <c r="O60" s="423" t="s">
        <v>3708</v>
      </c>
      <c r="P60" s="58"/>
      <c r="Q60" s="58"/>
      <c r="R60" s="58"/>
      <c r="S60" s="58"/>
      <c r="T60" s="58"/>
      <c r="W60" s="198"/>
      <c r="X60" s="198"/>
      <c r="Y60" s="198"/>
      <c r="Z60" s="198"/>
    </row>
    <row r="61" spans="2:26" s="59" customFormat="1" ht="13.7" customHeight="1" x14ac:dyDescent="0.2">
      <c r="B61" s="218"/>
      <c r="E61" s="238"/>
      <c r="F61" s="238"/>
      <c r="H61" s="58"/>
      <c r="I61" s="58"/>
      <c r="J61" s="61"/>
      <c r="K61" s="898"/>
      <c r="L61" s="1672" t="s">
        <v>3672</v>
      </c>
      <c r="M61" s="464">
        <v>2</v>
      </c>
      <c r="N61" s="465">
        <v>1</v>
      </c>
      <c r="O61" s="423" t="s">
        <v>3709</v>
      </c>
      <c r="P61" s="58"/>
      <c r="Q61" s="58"/>
      <c r="R61" s="58"/>
      <c r="S61" s="58"/>
      <c r="T61" s="58"/>
      <c r="W61" s="198"/>
      <c r="X61" s="198"/>
      <c r="Y61" s="198"/>
      <c r="Z61" s="198"/>
    </row>
    <row r="62" spans="2:26" s="59" customFormat="1" ht="13.7" customHeight="1" x14ac:dyDescent="0.2">
      <c r="B62" s="218"/>
      <c r="C62" s="1539" t="s">
        <v>4323</v>
      </c>
      <c r="D62" s="526"/>
      <c r="E62" s="526"/>
      <c r="F62" s="526"/>
      <c r="G62" s="1540"/>
      <c r="H62" s="493"/>
      <c r="I62" s="57"/>
      <c r="J62" s="61"/>
      <c r="K62" s="898"/>
      <c r="L62" s="218" t="s">
        <v>4315</v>
      </c>
      <c r="M62" s="464">
        <v>2</v>
      </c>
      <c r="N62" s="465">
        <v>1</v>
      </c>
      <c r="O62" s="423" t="s">
        <v>3707</v>
      </c>
      <c r="P62" s="58"/>
      <c r="Q62" s="58"/>
      <c r="R62" s="58"/>
      <c r="S62" s="58"/>
      <c r="T62" s="58"/>
      <c r="W62" s="198"/>
      <c r="X62" s="198"/>
      <c r="Y62" s="198"/>
      <c r="Z62" s="198"/>
    </row>
    <row r="63" spans="2:26" s="59" customFormat="1" ht="13.7" customHeight="1" x14ac:dyDescent="0.2">
      <c r="B63" s="218"/>
      <c r="C63" s="57"/>
      <c r="D63" s="58"/>
      <c r="E63" s="58"/>
      <c r="F63" s="58"/>
      <c r="G63" s="58"/>
      <c r="H63" s="58"/>
      <c r="I63" s="58"/>
      <c r="J63" s="61"/>
      <c r="K63" s="898"/>
      <c r="L63" s="218"/>
      <c r="M63" s="312"/>
      <c r="N63" s="313"/>
      <c r="O63" s="58"/>
      <c r="P63" s="58"/>
      <c r="Q63" s="58"/>
      <c r="R63" s="58"/>
      <c r="S63" s="58"/>
      <c r="T63" s="58"/>
      <c r="W63" s="198"/>
      <c r="X63" s="198"/>
      <c r="Y63" s="198"/>
      <c r="Z63" s="198"/>
    </row>
    <row r="64" spans="2:26" s="59" customFormat="1" ht="13.7" customHeight="1" x14ac:dyDescent="0.2">
      <c r="B64" s="218"/>
      <c r="C64" s="419" t="s">
        <v>4275</v>
      </c>
      <c r="D64" s="425"/>
      <c r="E64" s="425"/>
      <c r="F64" s="425"/>
      <c r="G64" s="424"/>
      <c r="I64" s="58"/>
      <c r="J64" s="1710"/>
      <c r="K64" s="898"/>
      <c r="L64" s="1672" t="s">
        <v>3677</v>
      </c>
      <c r="M64" s="464">
        <v>1</v>
      </c>
      <c r="N64" s="465">
        <v>1</v>
      </c>
      <c r="O64" s="423" t="s">
        <v>3676</v>
      </c>
      <c r="P64" s="58"/>
      <c r="Q64" s="58"/>
      <c r="R64" s="58"/>
      <c r="S64" s="58"/>
      <c r="T64" s="58"/>
      <c r="W64" s="198"/>
      <c r="X64" s="198"/>
      <c r="Y64" s="198"/>
      <c r="Z64" s="198"/>
    </row>
    <row r="65" spans="2:26" s="59" customFormat="1" ht="13.7" customHeight="1" x14ac:dyDescent="0.2">
      <c r="B65" s="218"/>
      <c r="C65" s="57"/>
      <c r="D65" s="58"/>
      <c r="E65" s="58"/>
      <c r="F65" s="58"/>
      <c r="G65" s="58"/>
      <c r="H65" s="58"/>
      <c r="I65" s="58"/>
      <c r="J65" s="61"/>
      <c r="K65" s="898"/>
      <c r="L65" s="218"/>
      <c r="M65" s="312"/>
      <c r="N65" s="313"/>
      <c r="O65" s="58"/>
      <c r="P65" s="58"/>
      <c r="Q65" s="58"/>
      <c r="R65" s="58"/>
      <c r="S65" s="58"/>
      <c r="T65" s="58"/>
      <c r="W65" s="198"/>
      <c r="X65" s="198"/>
      <c r="Y65" s="198"/>
      <c r="Z65" s="198"/>
    </row>
    <row r="66" spans="2:26" s="59" customFormat="1" ht="13.7" customHeight="1" x14ac:dyDescent="0.2">
      <c r="B66" s="218"/>
      <c r="C66" s="334" t="s">
        <v>4494</v>
      </c>
      <c r="D66" s="1011"/>
      <c r="E66" s="1858" t="str">
        <f>IF(Kulturen!H231="Mais",""," &gt;&gt;&gt; Keine Eingabe notwendig. Sie haben folgende Hauptfrucht gewählt: "&amp;Kulturen!H229&amp;".")</f>
        <v xml:space="preserve"> &gt;&gt;&gt; Keine Eingabe notwendig. Sie haben folgende Hauptfrucht gewählt: auswählen !.</v>
      </c>
      <c r="F66" s="1858"/>
      <c r="G66" s="1858"/>
      <c r="H66" s="1858"/>
      <c r="I66" s="1858"/>
      <c r="J66" s="1859"/>
      <c r="K66" s="898"/>
      <c r="L66" s="218"/>
      <c r="M66" s="312"/>
      <c r="N66" s="313"/>
      <c r="O66" s="58"/>
      <c r="W66" s="198"/>
      <c r="X66" s="198"/>
      <c r="Y66" s="198"/>
      <c r="Z66" s="198"/>
    </row>
    <row r="67" spans="2:26" s="59" customFormat="1" ht="13.7" customHeight="1" x14ac:dyDescent="0.2">
      <c r="B67" s="218"/>
      <c r="C67" s="503"/>
      <c r="D67" s="487"/>
      <c r="E67" s="487"/>
      <c r="F67" s="487"/>
      <c r="G67" s="487"/>
      <c r="H67" s="487"/>
      <c r="I67" s="487"/>
      <c r="J67" s="488"/>
      <c r="K67" s="898"/>
      <c r="L67" s="218"/>
      <c r="M67" s="312"/>
      <c r="N67" s="313"/>
      <c r="O67" s="58"/>
      <c r="W67" s="198"/>
      <c r="X67" s="198"/>
      <c r="Y67" s="198"/>
      <c r="Z67" s="198"/>
    </row>
    <row r="68" spans="2:26" s="59" customFormat="1" ht="13.7" customHeight="1" x14ac:dyDescent="0.2">
      <c r="C68" s="467" t="s">
        <v>4770</v>
      </c>
      <c r="D68" s="425"/>
      <c r="E68" s="425"/>
      <c r="F68" s="487"/>
      <c r="G68" s="487"/>
      <c r="H68" s="487"/>
      <c r="I68" s="487"/>
      <c r="J68" s="488"/>
      <c r="K68" s="898"/>
      <c r="L68" s="218" t="s">
        <v>4312</v>
      </c>
      <c r="M68" s="464">
        <v>2</v>
      </c>
      <c r="N68" s="465">
        <v>1</v>
      </c>
      <c r="O68" s="423" t="s">
        <v>3687</v>
      </c>
      <c r="W68" s="198"/>
      <c r="X68" s="198"/>
      <c r="Y68" s="198"/>
      <c r="Z68" s="198"/>
    </row>
    <row r="69" spans="2:26" s="59" customFormat="1" ht="13.7" customHeight="1" x14ac:dyDescent="0.2">
      <c r="C69" s="503"/>
      <c r="D69" s="487"/>
      <c r="E69" s="487"/>
      <c r="F69" s="487"/>
      <c r="G69" s="487"/>
      <c r="H69" s="487"/>
      <c r="I69" s="487"/>
      <c r="J69" s="488"/>
      <c r="K69" s="898"/>
      <c r="L69" s="218"/>
      <c r="M69" s="312"/>
      <c r="N69" s="313"/>
      <c r="O69" s="58"/>
      <c r="W69" s="198"/>
      <c r="X69" s="198"/>
      <c r="Y69" s="198"/>
      <c r="Z69" s="198"/>
    </row>
    <row r="70" spans="2:26" s="59" customFormat="1" ht="13.7" customHeight="1" x14ac:dyDescent="0.2">
      <c r="C70" s="419" t="s">
        <v>4380</v>
      </c>
      <c r="D70" s="425"/>
      <c r="E70" s="425"/>
      <c r="F70" s="425"/>
      <c r="G70" s="425"/>
      <c r="H70" s="425"/>
      <c r="I70" s="425"/>
      <c r="J70" s="420"/>
      <c r="K70" s="898"/>
      <c r="L70" s="218"/>
      <c r="M70" s="312"/>
      <c r="N70" s="313"/>
      <c r="O70" s="58"/>
      <c r="P70" s="58"/>
      <c r="Q70" s="58"/>
      <c r="R70" s="58"/>
      <c r="S70" s="58"/>
      <c r="T70" s="58"/>
      <c r="W70" s="198"/>
      <c r="X70" s="198"/>
      <c r="Y70" s="198"/>
      <c r="Z70" s="198"/>
    </row>
    <row r="71" spans="2:26" s="59" customFormat="1" ht="13.7" customHeight="1" x14ac:dyDescent="0.2">
      <c r="C71" s="419" t="s">
        <v>4324</v>
      </c>
      <c r="D71" s="425"/>
      <c r="E71" s="425"/>
      <c r="F71" s="466" t="s">
        <v>4426</v>
      </c>
      <c r="G71" s="425"/>
      <c r="H71" s="466" t="s">
        <v>4714</v>
      </c>
      <c r="I71" s="238"/>
      <c r="J71" s="466" t="s">
        <v>4333</v>
      </c>
      <c r="K71" s="898"/>
      <c r="L71" s="218"/>
      <c r="M71" s="312"/>
      <c r="N71" s="313"/>
      <c r="O71" s="58"/>
      <c r="P71" s="58"/>
      <c r="Q71" s="58"/>
      <c r="R71" s="58"/>
      <c r="S71" s="58"/>
      <c r="T71" s="58"/>
      <c r="W71" s="198"/>
      <c r="X71" s="198"/>
      <c r="Y71" s="198"/>
      <c r="Z71" s="198"/>
    </row>
    <row r="72" spans="2:26" s="59" customFormat="1" ht="13.7" customHeight="1" x14ac:dyDescent="0.2">
      <c r="C72" s="419"/>
      <c r="D72" s="425"/>
      <c r="E72" s="425"/>
      <c r="F72" s="462"/>
      <c r="G72" s="510"/>
      <c r="H72" s="462"/>
      <c r="I72" s="288" t="s">
        <v>4276</v>
      </c>
      <c r="J72" s="462"/>
      <c r="K72" s="898"/>
      <c r="L72" s="218" t="s">
        <v>4314</v>
      </c>
      <c r="M72" s="464">
        <v>1</v>
      </c>
      <c r="N72" s="465">
        <v>1</v>
      </c>
      <c r="O72" s="423" t="s">
        <v>3683</v>
      </c>
      <c r="P72" s="58"/>
      <c r="Q72" s="58"/>
      <c r="R72" s="58"/>
      <c r="S72" s="58"/>
      <c r="T72" s="58"/>
      <c r="W72" s="198"/>
      <c r="X72" s="198"/>
      <c r="Y72" s="198"/>
      <c r="Z72" s="198"/>
    </row>
    <row r="73" spans="2:26" s="59" customFormat="1" ht="13.7" customHeight="1" thickBot="1" x14ac:dyDescent="0.25">
      <c r="C73" s="903" t="str">
        <f>IF(AND(M72&gt;1,F72=""),"Düngemittel ausgewählt; Menge fehlt!","")</f>
        <v/>
      </c>
      <c r="D73" s="70"/>
      <c r="E73" s="70"/>
      <c r="F73" s="70"/>
      <c r="G73" s="70"/>
      <c r="H73" s="70"/>
      <c r="I73" s="70"/>
      <c r="J73" s="477"/>
      <c r="K73" s="898"/>
      <c r="L73" s="218"/>
      <c r="M73" s="511"/>
      <c r="N73" s="512"/>
      <c r="O73" s="58"/>
      <c r="P73" s="58"/>
      <c r="Q73" s="58"/>
      <c r="R73" s="58"/>
      <c r="S73" s="58"/>
      <c r="T73" s="58"/>
      <c r="W73" s="198"/>
      <c r="X73" s="198"/>
      <c r="Y73" s="198"/>
      <c r="Z73" s="198"/>
    </row>
    <row r="74" spans="2:26" s="59" customFormat="1" ht="13.7" customHeight="1" x14ac:dyDescent="0.2">
      <c r="L74" s="218"/>
      <c r="W74" s="198"/>
      <c r="X74" s="198"/>
      <c r="Y74" s="198"/>
      <c r="Z74" s="198"/>
    </row>
    <row r="75" spans="2:26" s="59" customFormat="1" ht="13.7" customHeight="1" x14ac:dyDescent="0.2">
      <c r="F75" s="513"/>
      <c r="L75" s="218"/>
      <c r="W75" s="198"/>
      <c r="X75" s="198"/>
      <c r="Y75" s="198"/>
      <c r="Z75" s="198"/>
    </row>
    <row r="76" spans="2:26" s="59" customFormat="1" ht="13.7" customHeight="1" x14ac:dyDescent="0.2">
      <c r="L76" s="1672"/>
      <c r="M76" s="514"/>
      <c r="W76" s="198"/>
      <c r="X76" s="198"/>
      <c r="Y76" s="198"/>
      <c r="Z76" s="198"/>
    </row>
    <row r="77" spans="2:26" s="59" customFormat="1" ht="13.7" customHeight="1" x14ac:dyDescent="0.2">
      <c r="L77" s="218"/>
      <c r="W77" s="198"/>
      <c r="X77" s="198"/>
      <c r="Y77" s="198"/>
      <c r="Z77" s="198"/>
    </row>
    <row r="78" spans="2:26" s="59" customFormat="1" x14ac:dyDescent="0.2">
      <c r="L78" s="218"/>
      <c r="W78" s="198"/>
      <c r="X78" s="198"/>
      <c r="Y78" s="198"/>
      <c r="Z78" s="198"/>
    </row>
    <row r="79" spans="2:26" s="59" customFormat="1" x14ac:dyDescent="0.2">
      <c r="L79" s="218"/>
      <c r="W79" s="198"/>
      <c r="X79" s="198"/>
      <c r="Y79" s="198"/>
      <c r="Z79" s="198"/>
    </row>
    <row r="80" spans="2:26" s="59" customFormat="1" x14ac:dyDescent="0.2">
      <c r="L80" s="218"/>
      <c r="W80" s="198"/>
      <c r="X80" s="198"/>
      <c r="Y80" s="198"/>
      <c r="Z80" s="198"/>
    </row>
    <row r="81" spans="12:26" s="59" customFormat="1" x14ac:dyDescent="0.2">
      <c r="L81" s="218"/>
      <c r="W81" s="198"/>
      <c r="X81" s="198"/>
      <c r="Y81" s="198"/>
      <c r="Z81" s="198"/>
    </row>
    <row r="82" spans="12:26" s="59" customFormat="1" x14ac:dyDescent="0.2">
      <c r="L82" s="218"/>
      <c r="W82" s="198"/>
      <c r="X82" s="198"/>
      <c r="Y82" s="198"/>
      <c r="Z82" s="198"/>
    </row>
    <row r="83" spans="12:26" s="59" customFormat="1" x14ac:dyDescent="0.2">
      <c r="L83" s="218"/>
      <c r="W83" s="198"/>
      <c r="X83" s="198"/>
      <c r="Y83" s="198"/>
      <c r="Z83" s="198"/>
    </row>
    <row r="84" spans="12:26" s="59" customFormat="1" x14ac:dyDescent="0.2">
      <c r="L84" s="218"/>
      <c r="W84" s="198"/>
      <c r="X84" s="198"/>
      <c r="Y84" s="198"/>
      <c r="Z84" s="198"/>
    </row>
    <row r="85" spans="12:26" s="59" customFormat="1" x14ac:dyDescent="0.2">
      <c r="L85" s="218"/>
      <c r="W85" s="198"/>
      <c r="X85" s="198"/>
      <c r="Y85" s="198"/>
      <c r="Z85" s="198"/>
    </row>
    <row r="86" spans="12:26" s="59" customFormat="1" x14ac:dyDescent="0.2">
      <c r="L86" s="218"/>
      <c r="N86"/>
      <c r="O86"/>
      <c r="W86" s="198"/>
      <c r="X86" s="198"/>
      <c r="Y86" s="198"/>
      <c r="Z86" s="198"/>
    </row>
    <row r="87" spans="12:26" s="59" customFormat="1" x14ac:dyDescent="0.2">
      <c r="L87" s="218"/>
      <c r="N87"/>
      <c r="O87"/>
      <c r="P87" s="58"/>
      <c r="Q87" s="58"/>
      <c r="R87" s="58"/>
      <c r="S87" s="58"/>
      <c r="T87" s="58"/>
      <c r="W87" s="198"/>
      <c r="X87" s="198"/>
      <c r="Y87" s="198"/>
      <c r="Z87" s="198"/>
    </row>
    <row r="88" spans="12:26" s="59" customFormat="1" x14ac:dyDescent="0.2">
      <c r="L88" s="218"/>
      <c r="N88"/>
      <c r="O88"/>
      <c r="P88" s="58"/>
      <c r="Q88" s="58"/>
      <c r="R88" s="58"/>
      <c r="S88" s="58"/>
      <c r="T88" s="58"/>
      <c r="W88" s="198"/>
      <c r="X88" s="198"/>
      <c r="Y88" s="198"/>
      <c r="Z88" s="198"/>
    </row>
    <row r="89" spans="12:26" s="59" customFormat="1" x14ac:dyDescent="0.2">
      <c r="L89" s="218"/>
      <c r="N89"/>
      <c r="O89"/>
      <c r="P89" s="58"/>
      <c r="Q89" s="58"/>
      <c r="R89" s="58"/>
      <c r="S89" s="58"/>
      <c r="T89" s="58"/>
      <c r="W89" s="198"/>
      <c r="X89" s="198"/>
      <c r="Y89" s="198"/>
      <c r="Z89" s="198"/>
    </row>
    <row r="90" spans="12:26" s="59" customFormat="1" x14ac:dyDescent="0.2">
      <c r="L90" s="218"/>
      <c r="N90"/>
      <c r="O90"/>
      <c r="P90" s="58"/>
      <c r="Q90" s="58"/>
      <c r="R90" s="58"/>
      <c r="S90" s="58"/>
      <c r="T90" s="58"/>
      <c r="W90" s="198"/>
      <c r="X90" s="198"/>
      <c r="Y90" s="198"/>
      <c r="Z90" s="198"/>
    </row>
    <row r="91" spans="12:26" s="59" customFormat="1" x14ac:dyDescent="0.2">
      <c r="L91" s="218"/>
      <c r="N91"/>
      <c r="O91"/>
      <c r="P91" s="58"/>
      <c r="Q91" s="58"/>
      <c r="R91" s="58"/>
      <c r="S91" s="58"/>
      <c r="T91" s="58"/>
      <c r="W91" s="198"/>
      <c r="X91" s="198"/>
      <c r="Y91" s="198"/>
      <c r="Z91" s="198"/>
    </row>
    <row r="92" spans="12:26" s="59" customFormat="1" x14ac:dyDescent="0.2">
      <c r="L92" s="218"/>
      <c r="N92"/>
      <c r="O92"/>
      <c r="P92" s="58"/>
      <c r="Q92" s="58"/>
      <c r="R92" s="58"/>
      <c r="S92" s="58"/>
      <c r="T92" s="58"/>
      <c r="W92" s="198"/>
      <c r="X92" s="198"/>
      <c r="Y92" s="198"/>
      <c r="Z92" s="198"/>
    </row>
    <row r="93" spans="12:26" s="59" customFormat="1" x14ac:dyDescent="0.2">
      <c r="L93" s="218"/>
      <c r="N93"/>
      <c r="O93"/>
      <c r="P93" s="58"/>
      <c r="Q93" s="58"/>
      <c r="R93" s="58"/>
      <c r="S93" s="58"/>
      <c r="T93" s="58"/>
      <c r="W93" s="198"/>
      <c r="X93" s="198"/>
      <c r="Y93" s="198"/>
      <c r="Z93" s="198"/>
    </row>
    <row r="94" spans="12:26" s="59" customFormat="1" x14ac:dyDescent="0.2">
      <c r="L94" s="218"/>
      <c r="N94"/>
      <c r="O94"/>
      <c r="P94" s="58"/>
      <c r="Q94" s="58"/>
      <c r="R94" s="58"/>
      <c r="S94" s="58"/>
      <c r="T94" s="58"/>
      <c r="W94" s="198"/>
      <c r="X94" s="198"/>
      <c r="Y94" s="198"/>
      <c r="Z94" s="198"/>
    </row>
    <row r="95" spans="12:26" s="59" customFormat="1" x14ac:dyDescent="0.2">
      <c r="L95" s="218"/>
      <c r="N95"/>
      <c r="O95"/>
      <c r="P95" s="58"/>
      <c r="Q95" s="58"/>
      <c r="R95" s="58"/>
      <c r="S95" s="58"/>
      <c r="T95" s="58"/>
      <c r="W95" s="198"/>
      <c r="X95" s="198"/>
      <c r="Y95" s="198"/>
      <c r="Z95" s="198"/>
    </row>
    <row r="96" spans="12:26" s="59" customFormat="1" x14ac:dyDescent="0.2">
      <c r="L96" s="218"/>
      <c r="N96"/>
      <c r="O96"/>
      <c r="P96" s="58"/>
      <c r="Q96" s="58"/>
      <c r="R96" s="58"/>
      <c r="S96" s="58"/>
      <c r="T96" s="58"/>
      <c r="W96" s="198"/>
      <c r="X96" s="198"/>
      <c r="Y96" s="198"/>
      <c r="Z96" s="198"/>
    </row>
    <row r="97" spans="12:26" s="59" customFormat="1" x14ac:dyDescent="0.2">
      <c r="L97" s="218"/>
      <c r="N97"/>
      <c r="O97"/>
      <c r="P97" s="58"/>
      <c r="Q97" s="58"/>
      <c r="R97" s="58"/>
      <c r="S97" s="58"/>
      <c r="T97" s="58"/>
      <c r="W97" s="198"/>
      <c r="X97" s="198"/>
      <c r="Y97" s="198"/>
      <c r="Z97" s="198"/>
    </row>
    <row r="98" spans="12:26" s="59" customFormat="1" x14ac:dyDescent="0.2">
      <c r="L98" s="218"/>
      <c r="N98"/>
      <c r="O98"/>
      <c r="P98" s="58"/>
      <c r="Q98" s="58"/>
      <c r="R98" s="58"/>
      <c r="S98" s="58"/>
      <c r="T98" s="58"/>
      <c r="W98" s="198"/>
      <c r="X98" s="198"/>
      <c r="Y98" s="198"/>
      <c r="Z98" s="198"/>
    </row>
    <row r="99" spans="12:26" s="59" customFormat="1" x14ac:dyDescent="0.2">
      <c r="L99" s="218"/>
      <c r="N99"/>
      <c r="O99"/>
      <c r="P99" s="58"/>
      <c r="Q99" s="58"/>
      <c r="R99" s="58"/>
      <c r="S99" s="58"/>
      <c r="T99" s="58"/>
      <c r="W99" s="198"/>
      <c r="X99" s="198"/>
      <c r="Y99" s="198"/>
      <c r="Z99" s="198"/>
    </row>
    <row r="100" spans="12:26" s="59" customFormat="1" x14ac:dyDescent="0.2">
      <c r="L100" s="218"/>
      <c r="N100"/>
      <c r="O100"/>
      <c r="P100" s="58"/>
      <c r="Q100" s="58"/>
      <c r="R100" s="58"/>
      <c r="S100" s="58"/>
      <c r="T100" s="58"/>
      <c r="W100" s="198"/>
      <c r="X100" s="198"/>
      <c r="Y100" s="198"/>
      <c r="Z100" s="198"/>
    </row>
    <row r="101" spans="12:26" s="59" customFormat="1" x14ac:dyDescent="0.2">
      <c r="L101" s="218"/>
      <c r="N101"/>
      <c r="O101"/>
      <c r="P101" s="58"/>
      <c r="Q101" s="58"/>
      <c r="R101" s="58"/>
      <c r="S101" s="58"/>
      <c r="T101" s="58"/>
      <c r="W101" s="198"/>
      <c r="X101" s="198"/>
      <c r="Y101" s="198"/>
      <c r="Z101" s="198"/>
    </row>
    <row r="102" spans="12:26" s="59" customFormat="1" x14ac:dyDescent="0.2">
      <c r="L102" s="218"/>
      <c r="N102"/>
      <c r="O102"/>
      <c r="P102" s="58"/>
      <c r="Q102" s="58"/>
      <c r="R102" s="58"/>
      <c r="S102" s="58"/>
      <c r="T102" s="58"/>
      <c r="W102" s="198"/>
      <c r="X102" s="198"/>
      <c r="Y102" s="198"/>
      <c r="Z102" s="198"/>
    </row>
    <row r="103" spans="12:26" s="59" customFormat="1" x14ac:dyDescent="0.2">
      <c r="L103" s="218"/>
      <c r="N103"/>
      <c r="O103"/>
      <c r="P103" s="58"/>
      <c r="Q103" s="58"/>
      <c r="R103" s="58"/>
      <c r="S103" s="58"/>
      <c r="T103" s="58"/>
      <c r="W103" s="198"/>
      <c r="X103" s="198"/>
      <c r="Y103" s="198"/>
      <c r="Z103" s="198"/>
    </row>
    <row r="104" spans="12:26" s="59" customFormat="1" x14ac:dyDescent="0.2">
      <c r="L104" s="218"/>
      <c r="N104"/>
      <c r="O104"/>
      <c r="P104" s="58"/>
      <c r="Q104" s="58"/>
      <c r="R104" s="58"/>
      <c r="S104" s="58"/>
      <c r="T104" s="58"/>
      <c r="W104" s="198"/>
      <c r="X104" s="198"/>
      <c r="Y104" s="198"/>
      <c r="Z104" s="198"/>
    </row>
    <row r="105" spans="12:26" s="59" customFormat="1" x14ac:dyDescent="0.2">
      <c r="L105" s="218"/>
      <c r="N105"/>
      <c r="O105"/>
      <c r="P105" s="58"/>
      <c r="Q105" s="58"/>
      <c r="R105" s="58"/>
      <c r="S105" s="58"/>
      <c r="T105" s="58"/>
      <c r="W105" s="198"/>
      <c r="X105" s="198"/>
      <c r="Y105" s="198"/>
      <c r="Z105" s="198"/>
    </row>
    <row r="106" spans="12:26" s="59" customFormat="1" x14ac:dyDescent="0.2">
      <c r="L106" s="218"/>
      <c r="N106"/>
      <c r="O106"/>
      <c r="P106" s="58"/>
      <c r="Q106" s="58"/>
      <c r="R106" s="58"/>
      <c r="S106" s="58"/>
      <c r="T106" s="58"/>
      <c r="W106" s="198"/>
      <c r="X106" s="198"/>
      <c r="Y106" s="198"/>
      <c r="Z106" s="198"/>
    </row>
    <row r="107" spans="12:26" s="59" customFormat="1" x14ac:dyDescent="0.2">
      <c r="L107" s="218"/>
      <c r="N107"/>
      <c r="O107"/>
      <c r="P107" s="58"/>
      <c r="Q107" s="58"/>
      <c r="R107" s="58"/>
      <c r="S107" s="58"/>
      <c r="T107" s="58"/>
      <c r="W107" s="198"/>
      <c r="X107" s="198"/>
      <c r="Y107" s="198"/>
      <c r="Z107" s="198"/>
    </row>
    <row r="108" spans="12:26" s="59" customFormat="1" x14ac:dyDescent="0.2">
      <c r="L108" s="218"/>
      <c r="N108"/>
      <c r="O108"/>
      <c r="P108" s="58"/>
      <c r="Q108" s="58"/>
      <c r="R108" s="58"/>
      <c r="S108" s="58"/>
      <c r="T108" s="58"/>
      <c r="W108" s="198"/>
      <c r="X108" s="198"/>
      <c r="Y108" s="198"/>
      <c r="Z108" s="198"/>
    </row>
    <row r="109" spans="12:26" s="59" customFormat="1" x14ac:dyDescent="0.2">
      <c r="L109" s="218"/>
      <c r="N109"/>
      <c r="O109"/>
      <c r="P109" s="58"/>
      <c r="Q109" s="58"/>
      <c r="R109" s="58"/>
      <c r="S109" s="58"/>
      <c r="T109" s="58"/>
      <c r="W109" s="198"/>
      <c r="X109" s="198"/>
      <c r="Y109" s="198"/>
      <c r="Z109" s="198"/>
    </row>
    <row r="110" spans="12:26" s="59" customFormat="1" x14ac:dyDescent="0.2">
      <c r="L110" s="218"/>
      <c r="N110"/>
      <c r="O110"/>
      <c r="P110" s="58"/>
      <c r="Q110" s="58"/>
      <c r="R110" s="58"/>
      <c r="S110" s="58"/>
      <c r="T110" s="58"/>
      <c r="W110" s="198"/>
      <c r="X110" s="198"/>
      <c r="Y110" s="198"/>
      <c r="Z110" s="198"/>
    </row>
    <row r="111" spans="12:26" s="59" customFormat="1" x14ac:dyDescent="0.2">
      <c r="L111" s="218"/>
      <c r="N111"/>
      <c r="O111"/>
      <c r="P111" s="58"/>
      <c r="Q111" s="58"/>
      <c r="R111" s="58"/>
      <c r="S111" s="58"/>
      <c r="T111" s="58"/>
      <c r="W111" s="198"/>
      <c r="X111" s="198"/>
      <c r="Y111" s="198"/>
      <c r="Z111" s="198"/>
    </row>
    <row r="112" spans="12:26" s="59" customFormat="1" x14ac:dyDescent="0.2">
      <c r="L112" s="218"/>
      <c r="N112"/>
      <c r="O112"/>
      <c r="P112" s="58"/>
      <c r="Q112" s="58"/>
      <c r="R112" s="58"/>
      <c r="S112" s="58"/>
      <c r="T112" s="58"/>
      <c r="W112" s="198"/>
      <c r="X112" s="198"/>
      <c r="Y112" s="198"/>
      <c r="Z112" s="198"/>
    </row>
    <row r="113" spans="12:26" s="59" customFormat="1" x14ac:dyDescent="0.2">
      <c r="L113" s="218"/>
      <c r="N113"/>
      <c r="O113"/>
      <c r="P113" s="58"/>
      <c r="Q113" s="58"/>
      <c r="R113" s="58"/>
      <c r="S113" s="58"/>
      <c r="T113" s="58"/>
      <c r="W113" s="198"/>
      <c r="X113" s="198"/>
      <c r="Y113" s="198"/>
      <c r="Z113" s="198"/>
    </row>
    <row r="114" spans="12:26" s="59" customFormat="1" x14ac:dyDescent="0.2">
      <c r="L114" s="218"/>
      <c r="N114"/>
      <c r="O114"/>
      <c r="P114" s="58"/>
      <c r="Q114" s="58"/>
      <c r="R114" s="58"/>
      <c r="S114" s="58"/>
      <c r="T114" s="58"/>
      <c r="W114" s="198"/>
      <c r="X114" s="198"/>
      <c r="Y114" s="198"/>
      <c r="Z114" s="198"/>
    </row>
    <row r="115" spans="12:26" s="59" customFormat="1" x14ac:dyDescent="0.2">
      <c r="L115" s="218"/>
      <c r="N115"/>
      <c r="O115"/>
      <c r="P115" s="58"/>
      <c r="Q115" s="58"/>
      <c r="R115" s="58"/>
      <c r="S115" s="58"/>
      <c r="T115" s="58"/>
      <c r="W115" s="198"/>
      <c r="X115" s="198"/>
      <c r="Y115" s="198"/>
      <c r="Z115" s="198"/>
    </row>
    <row r="116" spans="12:26" s="59" customFormat="1" x14ac:dyDescent="0.2">
      <c r="L116" s="218"/>
      <c r="N116"/>
      <c r="O116"/>
      <c r="P116" s="58"/>
      <c r="Q116" s="58"/>
      <c r="R116" s="58"/>
      <c r="S116" s="58"/>
      <c r="T116" s="58"/>
      <c r="W116" s="198"/>
      <c r="X116" s="198"/>
      <c r="Y116" s="198"/>
      <c r="Z116" s="198"/>
    </row>
    <row r="117" spans="12:26" x14ac:dyDescent="0.2">
      <c r="L117" s="958"/>
      <c r="P117" s="4"/>
      <c r="Q117" s="4"/>
      <c r="R117" s="4"/>
      <c r="S117" s="4"/>
      <c r="T117" s="4"/>
    </row>
    <row r="118" spans="12:26" x14ac:dyDescent="0.2">
      <c r="L118" s="958"/>
      <c r="P118" s="4"/>
      <c r="Q118" s="4"/>
      <c r="R118" s="4"/>
      <c r="S118" s="4"/>
      <c r="T118" s="4"/>
    </row>
    <row r="119" spans="12:26" x14ac:dyDescent="0.2">
      <c r="L119" s="958"/>
      <c r="P119" s="4"/>
      <c r="Q119" s="4"/>
      <c r="R119" s="4"/>
      <c r="S119" s="4"/>
      <c r="T119" s="4"/>
    </row>
    <row r="120" spans="12:26" x14ac:dyDescent="0.2">
      <c r="L120" s="958"/>
      <c r="P120" s="4"/>
      <c r="Q120" s="4"/>
      <c r="R120" s="4"/>
      <c r="S120" s="4"/>
      <c r="T120" s="4"/>
    </row>
    <row r="121" spans="12:26" x14ac:dyDescent="0.2">
      <c r="L121" s="958"/>
      <c r="P121" s="4"/>
      <c r="Q121" s="4"/>
      <c r="R121" s="4"/>
      <c r="S121" s="4"/>
      <c r="T121" s="4"/>
    </row>
    <row r="122" spans="12:26" x14ac:dyDescent="0.2">
      <c r="L122" s="958"/>
      <c r="P122" s="4"/>
      <c r="Q122" s="4"/>
      <c r="R122" s="4"/>
      <c r="S122" s="4"/>
      <c r="T122" s="4"/>
    </row>
    <row r="123" spans="12:26" x14ac:dyDescent="0.2">
      <c r="L123" s="958"/>
      <c r="P123" s="4"/>
      <c r="Q123" s="4"/>
      <c r="R123" s="4"/>
      <c r="S123" s="4"/>
      <c r="T123" s="4"/>
    </row>
    <row r="124" spans="12:26" x14ac:dyDescent="0.2">
      <c r="L124" s="958"/>
      <c r="P124" s="4"/>
      <c r="Q124" s="4"/>
      <c r="R124" s="4"/>
      <c r="S124" s="4"/>
      <c r="T124" s="4"/>
    </row>
    <row r="125" spans="12:26" x14ac:dyDescent="0.2">
      <c r="L125" s="958"/>
      <c r="P125" s="4"/>
      <c r="Q125" s="4"/>
      <c r="R125" s="4"/>
      <c r="S125" s="4"/>
      <c r="T125" s="4"/>
    </row>
    <row r="126" spans="12:26" x14ac:dyDescent="0.2">
      <c r="L126" s="958"/>
      <c r="P126" s="4"/>
      <c r="Q126" s="4"/>
      <c r="R126" s="4"/>
      <c r="S126" s="4"/>
      <c r="T126" s="4"/>
    </row>
    <row r="127" spans="12:26" x14ac:dyDescent="0.2">
      <c r="L127" s="958"/>
      <c r="P127" s="4"/>
      <c r="Q127" s="4"/>
      <c r="R127" s="4"/>
      <c r="S127" s="4"/>
      <c r="T127" s="4"/>
    </row>
    <row r="128" spans="12:26" x14ac:dyDescent="0.2">
      <c r="L128" s="958"/>
      <c r="P128" s="4"/>
      <c r="Q128" s="4"/>
      <c r="R128" s="4"/>
      <c r="S128" s="4"/>
      <c r="T128" s="4"/>
    </row>
    <row r="129" spans="12:26" x14ac:dyDescent="0.2">
      <c r="L129" s="958"/>
      <c r="P129" s="4"/>
      <c r="Q129" s="4"/>
      <c r="R129" s="4"/>
      <c r="S129" s="4"/>
      <c r="T129" s="4"/>
    </row>
    <row r="130" spans="12:26" x14ac:dyDescent="0.2">
      <c r="L130" s="958"/>
      <c r="P130" s="4"/>
      <c r="Q130" s="4"/>
      <c r="R130" s="4"/>
      <c r="S130" s="4"/>
      <c r="T130" s="4"/>
      <c r="W130"/>
      <c r="X130"/>
      <c r="Y130"/>
      <c r="Z130"/>
    </row>
    <row r="131" spans="12:26" x14ac:dyDescent="0.2">
      <c r="L131" s="958"/>
      <c r="P131" s="4"/>
      <c r="Q131" s="4"/>
      <c r="R131" s="4"/>
      <c r="S131" s="4"/>
      <c r="T131" s="4"/>
      <c r="W131"/>
      <c r="X131"/>
      <c r="Y131"/>
      <c r="Z131"/>
    </row>
    <row r="132" spans="12:26" x14ac:dyDescent="0.2">
      <c r="L132" s="958"/>
      <c r="P132" s="4"/>
      <c r="Q132" s="4"/>
      <c r="R132" s="4"/>
      <c r="S132" s="4"/>
      <c r="T132" s="4"/>
      <c r="W132"/>
      <c r="X132"/>
      <c r="Y132"/>
      <c r="Z132"/>
    </row>
    <row r="133" spans="12:26" x14ac:dyDescent="0.2">
      <c r="L133" s="958"/>
      <c r="P133" s="4"/>
      <c r="Q133" s="4"/>
      <c r="R133" s="4"/>
      <c r="S133" s="4"/>
      <c r="T133" s="4"/>
      <c r="W133"/>
      <c r="X133"/>
      <c r="Y133"/>
      <c r="Z133"/>
    </row>
    <row r="134" spans="12:26" x14ac:dyDescent="0.2">
      <c r="L134" s="958"/>
      <c r="P134" s="4"/>
      <c r="Q134" s="4"/>
      <c r="R134" s="4"/>
      <c r="S134" s="4"/>
      <c r="T134" s="4"/>
      <c r="W134"/>
      <c r="X134"/>
      <c r="Y134"/>
      <c r="Z134"/>
    </row>
    <row r="135" spans="12:26" x14ac:dyDescent="0.2">
      <c r="L135" s="958"/>
      <c r="P135" s="4"/>
      <c r="Q135" s="4"/>
      <c r="R135" s="4"/>
      <c r="S135" s="4"/>
      <c r="T135" s="4"/>
      <c r="W135"/>
      <c r="X135"/>
      <c r="Y135"/>
      <c r="Z135"/>
    </row>
    <row r="136" spans="12:26" x14ac:dyDescent="0.2">
      <c r="L136" s="958"/>
      <c r="P136" s="4"/>
      <c r="Q136" s="4"/>
      <c r="R136" s="4"/>
      <c r="S136" s="4"/>
      <c r="T136" s="4"/>
      <c r="W136"/>
      <c r="X136"/>
      <c r="Y136"/>
      <c r="Z136"/>
    </row>
    <row r="137" spans="12:26" x14ac:dyDescent="0.2">
      <c r="L137" s="958"/>
      <c r="P137" s="4"/>
      <c r="Q137" s="4"/>
      <c r="R137" s="4"/>
      <c r="S137" s="4"/>
      <c r="T137" s="4"/>
      <c r="W137"/>
      <c r="X137"/>
      <c r="Y137"/>
      <c r="Z137"/>
    </row>
    <row r="138" spans="12:26" x14ac:dyDescent="0.2">
      <c r="L138" s="958"/>
      <c r="P138" s="4"/>
      <c r="Q138" s="4"/>
      <c r="R138" s="4"/>
      <c r="S138" s="4"/>
      <c r="T138" s="4"/>
      <c r="W138"/>
      <c r="X138"/>
      <c r="Y138"/>
      <c r="Z138"/>
    </row>
    <row r="139" spans="12:26" x14ac:dyDescent="0.2">
      <c r="L139" s="958"/>
      <c r="P139" s="4"/>
      <c r="Q139" s="4"/>
      <c r="R139" s="4"/>
      <c r="S139" s="4"/>
      <c r="T139" s="4"/>
      <c r="W139"/>
      <c r="X139"/>
      <c r="Y139"/>
      <c r="Z139"/>
    </row>
    <row r="140" spans="12:26" x14ac:dyDescent="0.2">
      <c r="L140" s="958"/>
      <c r="P140" s="4"/>
      <c r="Q140" s="4"/>
      <c r="R140" s="4"/>
      <c r="S140" s="4"/>
      <c r="T140" s="4"/>
      <c r="W140"/>
      <c r="X140"/>
      <c r="Y140"/>
      <c r="Z140"/>
    </row>
    <row r="141" spans="12:26" x14ac:dyDescent="0.2">
      <c r="L141" s="958"/>
      <c r="P141" s="4"/>
      <c r="Q141" s="4"/>
      <c r="R141" s="4"/>
      <c r="S141" s="4"/>
      <c r="T141" s="4"/>
      <c r="W141"/>
      <c r="X141"/>
      <c r="Y141"/>
      <c r="Z141"/>
    </row>
    <row r="142" spans="12:26" x14ac:dyDescent="0.2">
      <c r="L142" s="958"/>
      <c r="P142" s="4"/>
      <c r="Q142" s="4"/>
      <c r="R142" s="4"/>
      <c r="S142" s="4"/>
      <c r="T142" s="4"/>
      <c r="W142"/>
      <c r="X142"/>
      <c r="Y142"/>
      <c r="Z142"/>
    </row>
    <row r="143" spans="12:26" x14ac:dyDescent="0.2">
      <c r="L143" s="958"/>
      <c r="P143" s="4"/>
      <c r="Q143" s="4"/>
      <c r="R143" s="4"/>
      <c r="S143" s="4"/>
      <c r="T143" s="4"/>
      <c r="W143"/>
      <c r="X143"/>
      <c r="Y143"/>
      <c r="Z143"/>
    </row>
    <row r="144" spans="12:26" x14ac:dyDescent="0.2">
      <c r="L144" s="958"/>
      <c r="P144" s="4"/>
      <c r="Q144" s="4"/>
      <c r="R144" s="4"/>
      <c r="S144" s="4"/>
      <c r="T144" s="4"/>
      <c r="W144"/>
      <c r="X144"/>
      <c r="Y144"/>
      <c r="Z144"/>
    </row>
    <row r="145" spans="12:26" x14ac:dyDescent="0.2">
      <c r="L145" s="958"/>
      <c r="P145" s="4"/>
      <c r="Q145" s="4"/>
      <c r="R145" s="4"/>
      <c r="S145" s="4"/>
      <c r="T145" s="4"/>
      <c r="W145"/>
      <c r="X145"/>
      <c r="Y145"/>
      <c r="Z145"/>
    </row>
    <row r="146" spans="12:26" x14ac:dyDescent="0.2">
      <c r="L146" s="958"/>
      <c r="P146" s="4"/>
      <c r="Q146" s="4"/>
      <c r="R146" s="4"/>
      <c r="S146" s="4"/>
      <c r="T146" s="4"/>
      <c r="W146"/>
      <c r="X146"/>
      <c r="Y146"/>
      <c r="Z146"/>
    </row>
    <row r="147" spans="12:26" x14ac:dyDescent="0.2">
      <c r="L147" s="958"/>
      <c r="P147" s="4"/>
      <c r="Q147" s="4"/>
      <c r="R147" s="4"/>
      <c r="S147" s="4"/>
      <c r="T147" s="4"/>
      <c r="W147"/>
      <c r="X147"/>
      <c r="Y147"/>
      <c r="Z147"/>
    </row>
    <row r="148" spans="12:26" x14ac:dyDescent="0.2">
      <c r="L148" s="958"/>
      <c r="P148" s="4"/>
      <c r="Q148" s="4"/>
      <c r="R148" s="4"/>
      <c r="S148" s="4"/>
      <c r="T148" s="4"/>
      <c r="W148"/>
      <c r="X148"/>
      <c r="Y148"/>
      <c r="Z148"/>
    </row>
    <row r="149" spans="12:26" x14ac:dyDescent="0.2">
      <c r="L149" s="958"/>
      <c r="P149" s="4"/>
      <c r="Q149" s="4"/>
      <c r="R149" s="4"/>
      <c r="S149" s="4"/>
      <c r="T149" s="4"/>
      <c r="W149"/>
      <c r="X149"/>
      <c r="Y149"/>
      <c r="Z149"/>
    </row>
    <row r="150" spans="12:26" x14ac:dyDescent="0.2">
      <c r="L150" s="958"/>
      <c r="P150" s="4"/>
      <c r="Q150" s="4"/>
      <c r="R150" s="4"/>
      <c r="S150" s="4"/>
      <c r="T150" s="4"/>
      <c r="W150"/>
      <c r="X150"/>
      <c r="Y150"/>
      <c r="Z150"/>
    </row>
    <row r="151" spans="12:26" x14ac:dyDescent="0.2">
      <c r="L151" s="958"/>
      <c r="P151" s="4"/>
      <c r="Q151" s="4"/>
      <c r="R151" s="4"/>
      <c r="S151" s="4"/>
      <c r="T151" s="4"/>
      <c r="W151"/>
      <c r="X151"/>
      <c r="Y151"/>
      <c r="Z151"/>
    </row>
    <row r="152" spans="12:26" x14ac:dyDescent="0.2">
      <c r="L152" s="958"/>
      <c r="P152" s="4"/>
      <c r="Q152" s="4"/>
      <c r="R152" s="4"/>
      <c r="S152" s="4"/>
      <c r="T152" s="4"/>
      <c r="W152"/>
      <c r="X152"/>
      <c r="Y152"/>
      <c r="Z152"/>
    </row>
    <row r="153" spans="12:26" x14ac:dyDescent="0.2">
      <c r="L153" s="958"/>
      <c r="P153" s="4"/>
      <c r="Q153" s="4"/>
      <c r="R153" s="4"/>
      <c r="S153" s="4"/>
      <c r="T153" s="4"/>
      <c r="W153"/>
      <c r="X153"/>
      <c r="Y153"/>
      <c r="Z153"/>
    </row>
    <row r="154" spans="12:26" x14ac:dyDescent="0.2">
      <c r="L154" s="958"/>
      <c r="P154" s="4"/>
      <c r="Q154" s="4"/>
      <c r="R154" s="4"/>
      <c r="S154" s="4"/>
      <c r="T154" s="4"/>
      <c r="W154"/>
      <c r="X154"/>
      <c r="Y154"/>
      <c r="Z154"/>
    </row>
    <row r="155" spans="12:26" x14ac:dyDescent="0.2">
      <c r="P155" s="4"/>
      <c r="Q155" s="4"/>
      <c r="R155" s="4"/>
      <c r="S155" s="4"/>
      <c r="T155" s="4"/>
      <c r="W155"/>
      <c r="X155"/>
      <c r="Y155"/>
      <c r="Z155"/>
    </row>
    <row r="156" spans="12:26" x14ac:dyDescent="0.2">
      <c r="P156" s="4"/>
      <c r="Q156" s="4"/>
      <c r="R156" s="4"/>
      <c r="S156" s="4"/>
      <c r="T156" s="4"/>
      <c r="W156"/>
      <c r="X156"/>
      <c r="Y156"/>
      <c r="Z156"/>
    </row>
    <row r="157" spans="12:26" x14ac:dyDescent="0.2">
      <c r="P157" s="4"/>
      <c r="Q157" s="4"/>
      <c r="R157" s="4"/>
      <c r="S157" s="4"/>
      <c r="T157" s="4"/>
      <c r="W157"/>
      <c r="X157"/>
      <c r="Y157"/>
      <c r="Z157"/>
    </row>
    <row r="158" spans="12:26" x14ac:dyDescent="0.2">
      <c r="P158" s="4"/>
      <c r="Q158" s="4"/>
      <c r="R158" s="4"/>
      <c r="S158" s="4"/>
      <c r="T158" s="4"/>
      <c r="W158"/>
      <c r="X158"/>
      <c r="Y158"/>
      <c r="Z158"/>
    </row>
    <row r="159" spans="12:26" x14ac:dyDescent="0.2">
      <c r="P159" s="4"/>
      <c r="Q159" s="4"/>
      <c r="R159" s="4"/>
      <c r="S159" s="4"/>
      <c r="T159" s="4"/>
      <c r="W159"/>
      <c r="X159"/>
      <c r="Y159"/>
      <c r="Z159"/>
    </row>
    <row r="160" spans="12:26" x14ac:dyDescent="0.2">
      <c r="P160" s="4"/>
      <c r="Q160" s="4"/>
      <c r="R160" s="4"/>
      <c r="S160" s="4"/>
      <c r="T160" s="4"/>
      <c r="W160"/>
      <c r="X160"/>
      <c r="Y160"/>
      <c r="Z160"/>
    </row>
    <row r="161" spans="16:26" x14ac:dyDescent="0.2">
      <c r="P161" s="4"/>
      <c r="Q161" s="4"/>
      <c r="R161" s="4"/>
      <c r="S161" s="4"/>
      <c r="T161" s="4"/>
      <c r="W161"/>
      <c r="X161"/>
      <c r="Y161"/>
      <c r="Z161"/>
    </row>
    <row r="162" spans="16:26" x14ac:dyDescent="0.2">
      <c r="P162" s="4"/>
      <c r="Q162" s="4"/>
      <c r="R162" s="4"/>
      <c r="S162" s="4"/>
      <c r="T162" s="4"/>
      <c r="W162"/>
      <c r="X162"/>
      <c r="Y162"/>
      <c r="Z162"/>
    </row>
    <row r="163" spans="16:26" x14ac:dyDescent="0.2">
      <c r="P163" s="4"/>
      <c r="Q163" s="4"/>
      <c r="R163" s="4"/>
      <c r="S163" s="4"/>
      <c r="T163" s="4"/>
      <c r="W163"/>
      <c r="X163"/>
      <c r="Y163"/>
      <c r="Z163"/>
    </row>
    <row r="164" spans="16:26" x14ac:dyDescent="0.2">
      <c r="P164" s="4"/>
      <c r="Q164" s="4"/>
      <c r="R164" s="4"/>
      <c r="S164" s="4"/>
      <c r="T164" s="4"/>
      <c r="W164"/>
      <c r="X164"/>
      <c r="Y164"/>
      <c r="Z164"/>
    </row>
    <row r="165" spans="16:26" x14ac:dyDescent="0.2">
      <c r="P165" s="4"/>
      <c r="Q165" s="4"/>
      <c r="R165" s="4"/>
      <c r="S165" s="4"/>
      <c r="T165" s="4"/>
      <c r="W165"/>
      <c r="X165"/>
      <c r="Y165"/>
      <c r="Z165"/>
    </row>
    <row r="166" spans="16:26" x14ac:dyDescent="0.2">
      <c r="P166" s="4"/>
      <c r="Q166" s="4"/>
      <c r="R166" s="4"/>
      <c r="S166" s="4"/>
      <c r="T166" s="4"/>
      <c r="W166"/>
      <c r="X166"/>
      <c r="Y166"/>
      <c r="Z166"/>
    </row>
    <row r="167" spans="16:26" x14ac:dyDescent="0.2">
      <c r="P167" s="4"/>
      <c r="Q167" s="4"/>
      <c r="R167" s="4"/>
      <c r="S167" s="4"/>
      <c r="T167" s="4"/>
      <c r="W167"/>
      <c r="X167"/>
      <c r="Y167"/>
      <c r="Z167"/>
    </row>
    <row r="168" spans="16:26" x14ac:dyDescent="0.2">
      <c r="P168" s="4"/>
      <c r="Q168" s="4"/>
      <c r="R168" s="4"/>
      <c r="S168" s="4"/>
      <c r="T168" s="4"/>
      <c r="W168"/>
      <c r="X168"/>
      <c r="Y168"/>
      <c r="Z168"/>
    </row>
    <row r="169" spans="16:26" x14ac:dyDescent="0.2">
      <c r="P169" s="4"/>
      <c r="Q169" s="4"/>
      <c r="R169" s="4"/>
      <c r="S169" s="4"/>
      <c r="T169" s="4"/>
      <c r="W169"/>
      <c r="X169"/>
      <c r="Y169"/>
      <c r="Z169"/>
    </row>
    <row r="170" spans="16:26" x14ac:dyDescent="0.2">
      <c r="P170" s="4"/>
      <c r="Q170" s="4"/>
      <c r="R170" s="4"/>
      <c r="S170" s="4"/>
      <c r="T170" s="4"/>
      <c r="W170"/>
      <c r="X170"/>
      <c r="Y170"/>
      <c r="Z170"/>
    </row>
    <row r="171" spans="16:26" x14ac:dyDescent="0.2">
      <c r="P171" s="4"/>
      <c r="Q171" s="4"/>
      <c r="R171" s="4"/>
      <c r="S171" s="4"/>
      <c r="T171" s="4"/>
      <c r="W171"/>
      <c r="X171"/>
      <c r="Y171"/>
      <c r="Z171"/>
    </row>
    <row r="172" spans="16:26" x14ac:dyDescent="0.2">
      <c r="P172" s="4"/>
      <c r="Q172" s="4"/>
      <c r="R172" s="4"/>
      <c r="S172" s="4"/>
      <c r="T172" s="4"/>
      <c r="W172"/>
      <c r="X172"/>
      <c r="Y172"/>
      <c r="Z172"/>
    </row>
    <row r="173" spans="16:26" x14ac:dyDescent="0.2">
      <c r="P173" s="4"/>
      <c r="Q173" s="4"/>
      <c r="R173" s="4"/>
      <c r="S173" s="4"/>
      <c r="T173" s="4"/>
      <c r="W173"/>
      <c r="X173"/>
      <c r="Y173"/>
      <c r="Z173"/>
    </row>
    <row r="174" spans="16:26" x14ac:dyDescent="0.2">
      <c r="P174" s="4"/>
      <c r="Q174" s="4"/>
      <c r="R174" s="4"/>
      <c r="S174" s="4"/>
      <c r="T174" s="4"/>
      <c r="W174"/>
      <c r="X174"/>
      <c r="Y174"/>
      <c r="Z174"/>
    </row>
    <row r="175" spans="16:26" x14ac:dyDescent="0.2">
      <c r="P175" s="4"/>
      <c r="Q175" s="4"/>
      <c r="R175" s="4"/>
      <c r="S175" s="4"/>
      <c r="T175" s="4"/>
      <c r="W175"/>
      <c r="X175"/>
      <c r="Y175"/>
      <c r="Z175"/>
    </row>
    <row r="176" spans="16:26" x14ac:dyDescent="0.2">
      <c r="P176" s="4"/>
      <c r="Q176" s="4"/>
      <c r="R176" s="4"/>
      <c r="S176" s="4"/>
      <c r="T176" s="4"/>
      <c r="W176"/>
      <c r="X176"/>
      <c r="Y176"/>
      <c r="Z176"/>
    </row>
    <row r="177" spans="16:26" x14ac:dyDescent="0.2">
      <c r="P177" s="4"/>
      <c r="Q177" s="4"/>
      <c r="R177" s="4"/>
      <c r="S177" s="4"/>
      <c r="T177" s="4"/>
      <c r="W177"/>
      <c r="X177"/>
      <c r="Y177"/>
      <c r="Z177"/>
    </row>
    <row r="178" spans="16:26" x14ac:dyDescent="0.2">
      <c r="P178" s="4"/>
      <c r="Q178" s="4"/>
      <c r="R178" s="4"/>
      <c r="S178" s="4"/>
      <c r="T178" s="4"/>
      <c r="W178"/>
      <c r="X178"/>
      <c r="Y178"/>
      <c r="Z178"/>
    </row>
    <row r="179" spans="16:26" x14ac:dyDescent="0.2">
      <c r="P179" s="4"/>
      <c r="Q179" s="4"/>
      <c r="R179" s="4"/>
      <c r="S179" s="4"/>
      <c r="T179" s="4"/>
      <c r="W179"/>
      <c r="X179"/>
      <c r="Y179"/>
      <c r="Z179"/>
    </row>
    <row r="180" spans="16:26" x14ac:dyDescent="0.2">
      <c r="P180" s="4"/>
      <c r="Q180" s="4"/>
      <c r="R180" s="4"/>
      <c r="S180" s="4"/>
      <c r="T180" s="4"/>
      <c r="W180"/>
      <c r="X180"/>
      <c r="Y180"/>
      <c r="Z180"/>
    </row>
    <row r="181" spans="16:26" x14ac:dyDescent="0.2">
      <c r="P181" s="4"/>
      <c r="Q181" s="4"/>
      <c r="R181" s="4"/>
      <c r="S181" s="4"/>
      <c r="T181" s="4"/>
      <c r="W181"/>
      <c r="X181"/>
      <c r="Y181"/>
      <c r="Z181"/>
    </row>
    <row r="182" spans="16:26" x14ac:dyDescent="0.2">
      <c r="P182" s="4"/>
      <c r="Q182" s="4"/>
      <c r="R182" s="4"/>
      <c r="S182" s="4"/>
      <c r="T182" s="4"/>
      <c r="W182"/>
      <c r="X182"/>
      <c r="Y182"/>
      <c r="Z182"/>
    </row>
    <row r="183" spans="16:26" x14ac:dyDescent="0.2">
      <c r="P183" s="4"/>
      <c r="Q183" s="4"/>
      <c r="R183" s="4"/>
      <c r="S183" s="4"/>
      <c r="T183" s="4"/>
      <c r="W183"/>
      <c r="X183"/>
      <c r="Y183"/>
      <c r="Z183"/>
    </row>
    <row r="184" spans="16:26" x14ac:dyDescent="0.2">
      <c r="P184" s="4"/>
      <c r="Q184" s="4"/>
      <c r="R184" s="4"/>
      <c r="S184" s="4"/>
      <c r="T184" s="4"/>
      <c r="W184"/>
      <c r="X184"/>
      <c r="Y184"/>
      <c r="Z184"/>
    </row>
    <row r="185" spans="16:26" x14ac:dyDescent="0.2">
      <c r="P185" s="4"/>
      <c r="Q185" s="4"/>
      <c r="R185" s="4"/>
      <c r="S185" s="4"/>
      <c r="T185" s="4"/>
      <c r="W185"/>
      <c r="X185"/>
      <c r="Y185"/>
      <c r="Z185"/>
    </row>
    <row r="186" spans="16:26" x14ac:dyDescent="0.2">
      <c r="P186" s="4"/>
      <c r="Q186" s="4"/>
      <c r="R186" s="4"/>
      <c r="S186" s="4"/>
      <c r="T186" s="4"/>
      <c r="W186"/>
      <c r="X186"/>
      <c r="Y186"/>
      <c r="Z186"/>
    </row>
    <row r="187" spans="16:26" x14ac:dyDescent="0.2">
      <c r="P187" s="4"/>
      <c r="Q187" s="4"/>
      <c r="R187" s="4"/>
      <c r="S187" s="4"/>
      <c r="T187" s="4"/>
      <c r="W187"/>
      <c r="X187"/>
      <c r="Y187"/>
      <c r="Z187"/>
    </row>
    <row r="188" spans="16:26" x14ac:dyDescent="0.2">
      <c r="P188" s="4"/>
      <c r="Q188" s="4"/>
      <c r="R188" s="4"/>
      <c r="S188" s="4"/>
      <c r="T188" s="4"/>
      <c r="W188"/>
      <c r="X188"/>
      <c r="Y188"/>
      <c r="Z188"/>
    </row>
    <row r="189" spans="16:26" x14ac:dyDescent="0.2">
      <c r="P189" s="4"/>
      <c r="Q189" s="4"/>
      <c r="R189" s="4"/>
      <c r="S189" s="4"/>
      <c r="T189" s="4"/>
      <c r="W189"/>
      <c r="X189"/>
      <c r="Y189"/>
      <c r="Z189"/>
    </row>
    <row r="190" spans="16:26" x14ac:dyDescent="0.2">
      <c r="P190" s="4"/>
      <c r="Q190" s="4"/>
      <c r="R190" s="4"/>
      <c r="S190" s="4"/>
      <c r="T190" s="4"/>
      <c r="W190"/>
      <c r="X190"/>
      <c r="Y190"/>
      <c r="Z190"/>
    </row>
    <row r="191" spans="16:26" x14ac:dyDescent="0.2">
      <c r="P191" s="4"/>
      <c r="Q191" s="4"/>
      <c r="R191" s="4"/>
      <c r="S191" s="4"/>
      <c r="T191" s="4"/>
      <c r="W191"/>
      <c r="X191"/>
      <c r="Y191"/>
      <c r="Z191"/>
    </row>
    <row r="192" spans="16:26" x14ac:dyDescent="0.2">
      <c r="P192" s="4"/>
      <c r="Q192" s="4"/>
      <c r="R192" s="4"/>
      <c r="S192" s="4"/>
      <c r="T192" s="4"/>
      <c r="W192"/>
      <c r="X192"/>
      <c r="Y192"/>
      <c r="Z192"/>
    </row>
    <row r="193" spans="16:26" x14ac:dyDescent="0.2">
      <c r="P193" s="4"/>
      <c r="Q193" s="4"/>
      <c r="R193" s="4"/>
      <c r="S193" s="4"/>
      <c r="T193" s="4"/>
      <c r="W193"/>
      <c r="X193"/>
      <c r="Y193"/>
      <c r="Z193"/>
    </row>
    <row r="194" spans="16:26" x14ac:dyDescent="0.2">
      <c r="P194" s="4"/>
      <c r="Q194" s="4"/>
      <c r="R194" s="4"/>
      <c r="S194" s="4"/>
      <c r="T194" s="4"/>
      <c r="W194"/>
      <c r="X194"/>
      <c r="Y194"/>
      <c r="Z194"/>
    </row>
    <row r="195" spans="16:26" x14ac:dyDescent="0.2">
      <c r="P195" s="4"/>
      <c r="Q195" s="4"/>
      <c r="R195" s="4"/>
      <c r="S195" s="4"/>
      <c r="T195" s="4"/>
      <c r="W195"/>
      <c r="X195"/>
      <c r="Y195"/>
      <c r="Z195"/>
    </row>
    <row r="196" spans="16:26" x14ac:dyDescent="0.2">
      <c r="P196" s="4"/>
      <c r="Q196" s="4"/>
      <c r="R196" s="4"/>
      <c r="S196" s="4"/>
      <c r="T196" s="4"/>
      <c r="W196"/>
      <c r="X196"/>
      <c r="Y196"/>
      <c r="Z196"/>
    </row>
    <row r="197" spans="16:26" x14ac:dyDescent="0.2">
      <c r="P197" s="4"/>
      <c r="Q197" s="4"/>
      <c r="R197" s="4"/>
      <c r="S197" s="4"/>
      <c r="T197" s="4"/>
      <c r="W197"/>
      <c r="X197"/>
      <c r="Y197"/>
      <c r="Z197"/>
    </row>
    <row r="198" spans="16:26" x14ac:dyDescent="0.2">
      <c r="P198" s="4"/>
      <c r="Q198" s="4"/>
      <c r="R198" s="4"/>
      <c r="S198" s="4"/>
      <c r="T198" s="4"/>
      <c r="W198"/>
      <c r="X198"/>
      <c r="Y198"/>
      <c r="Z198"/>
    </row>
    <row r="199" spans="16:26" x14ac:dyDescent="0.2">
      <c r="P199" s="4"/>
      <c r="Q199" s="4"/>
      <c r="R199" s="4"/>
      <c r="S199" s="4"/>
      <c r="T199" s="4"/>
      <c r="W199"/>
      <c r="X199"/>
      <c r="Y199"/>
      <c r="Z199"/>
    </row>
    <row r="200" spans="16:26" x14ac:dyDescent="0.2">
      <c r="P200" s="4"/>
      <c r="Q200" s="4"/>
      <c r="R200" s="4"/>
      <c r="S200" s="4"/>
      <c r="T200" s="4"/>
      <c r="W200"/>
      <c r="X200"/>
      <c r="Y200"/>
      <c r="Z200"/>
    </row>
    <row r="201" spans="16:26" x14ac:dyDescent="0.2">
      <c r="P201" s="4"/>
      <c r="Q201" s="4"/>
      <c r="R201" s="4"/>
      <c r="S201" s="4"/>
      <c r="T201" s="4"/>
      <c r="W201"/>
      <c r="X201"/>
      <c r="Y201"/>
      <c r="Z201"/>
    </row>
    <row r="202" spans="16:26" x14ac:dyDescent="0.2">
      <c r="P202" s="4"/>
      <c r="Q202" s="4"/>
      <c r="R202" s="4"/>
      <c r="S202" s="4"/>
      <c r="T202" s="4"/>
      <c r="W202"/>
      <c r="X202"/>
      <c r="Y202"/>
      <c r="Z202"/>
    </row>
    <row r="203" spans="16:26" x14ac:dyDescent="0.2">
      <c r="P203" s="4"/>
      <c r="Q203" s="4"/>
      <c r="R203" s="4"/>
      <c r="S203" s="4"/>
      <c r="T203" s="4"/>
      <c r="W203"/>
      <c r="X203"/>
      <c r="Y203"/>
      <c r="Z203"/>
    </row>
    <row r="204" spans="16:26" x14ac:dyDescent="0.2">
      <c r="P204" s="4"/>
      <c r="Q204" s="4"/>
      <c r="R204" s="4"/>
      <c r="S204" s="4"/>
      <c r="T204" s="4"/>
      <c r="W204"/>
      <c r="X204"/>
      <c r="Y204"/>
      <c r="Z204"/>
    </row>
    <row r="205" spans="16:26" x14ac:dyDescent="0.2">
      <c r="P205" s="4"/>
      <c r="Q205" s="4"/>
      <c r="R205" s="4"/>
      <c r="S205" s="4"/>
      <c r="T205" s="4"/>
      <c r="W205"/>
      <c r="X205"/>
      <c r="Y205"/>
      <c r="Z205"/>
    </row>
    <row r="206" spans="16:26" x14ac:dyDescent="0.2">
      <c r="P206" s="4"/>
      <c r="Q206" s="4"/>
      <c r="R206" s="4"/>
      <c r="S206" s="4"/>
      <c r="T206" s="4"/>
      <c r="W206"/>
      <c r="X206"/>
      <c r="Y206"/>
      <c r="Z206"/>
    </row>
    <row r="207" spans="16:26" x14ac:dyDescent="0.2">
      <c r="P207" s="4"/>
      <c r="Q207" s="4"/>
      <c r="R207" s="4"/>
      <c r="S207" s="4"/>
      <c r="T207" s="4"/>
      <c r="W207"/>
      <c r="X207"/>
      <c r="Y207"/>
      <c r="Z207"/>
    </row>
    <row r="208" spans="16:26" x14ac:dyDescent="0.2">
      <c r="P208" s="4"/>
      <c r="Q208" s="4"/>
      <c r="R208" s="4"/>
      <c r="S208" s="4"/>
      <c r="T208" s="4"/>
      <c r="W208"/>
      <c r="X208"/>
      <c r="Y208"/>
      <c r="Z208"/>
    </row>
    <row r="209" spans="16:26" x14ac:dyDescent="0.2">
      <c r="P209" s="4"/>
      <c r="Q209" s="4"/>
      <c r="R209" s="4"/>
      <c r="S209" s="4"/>
      <c r="T209" s="4"/>
      <c r="W209"/>
      <c r="X209"/>
      <c r="Y209"/>
      <c r="Z209"/>
    </row>
    <row r="210" spans="16:26" x14ac:dyDescent="0.2">
      <c r="P210" s="4"/>
      <c r="Q210" s="4"/>
      <c r="R210" s="4"/>
      <c r="S210" s="4"/>
      <c r="T210" s="4"/>
      <c r="W210"/>
      <c r="X210"/>
      <c r="Y210"/>
      <c r="Z210"/>
    </row>
    <row r="211" spans="16:26" x14ac:dyDescent="0.2">
      <c r="P211" s="4"/>
      <c r="Q211" s="4"/>
      <c r="R211" s="4"/>
      <c r="S211" s="4"/>
      <c r="T211" s="4"/>
      <c r="W211"/>
      <c r="X211"/>
      <c r="Y211"/>
      <c r="Z211"/>
    </row>
    <row r="212" spans="16:26" x14ac:dyDescent="0.2">
      <c r="P212" s="4"/>
      <c r="Q212" s="4"/>
      <c r="R212" s="4"/>
      <c r="S212" s="4"/>
      <c r="T212" s="4"/>
      <c r="W212"/>
      <c r="X212"/>
      <c r="Y212"/>
      <c r="Z212"/>
    </row>
    <row r="213" spans="16:26" x14ac:dyDescent="0.2">
      <c r="P213" s="4"/>
      <c r="Q213" s="4"/>
      <c r="R213" s="4"/>
      <c r="S213" s="4"/>
      <c r="T213" s="4"/>
      <c r="W213"/>
      <c r="X213"/>
      <c r="Y213"/>
      <c r="Z213"/>
    </row>
    <row r="214" spans="16:26" x14ac:dyDescent="0.2">
      <c r="P214" s="4"/>
      <c r="Q214" s="4"/>
      <c r="R214" s="4"/>
      <c r="S214" s="4"/>
      <c r="T214" s="4"/>
      <c r="W214"/>
      <c r="X214"/>
      <c r="Y214"/>
      <c r="Z214"/>
    </row>
    <row r="215" spans="16:26" x14ac:dyDescent="0.2">
      <c r="P215" s="4"/>
      <c r="Q215" s="4"/>
      <c r="R215" s="4"/>
      <c r="S215" s="4"/>
      <c r="T215" s="4"/>
      <c r="W215"/>
      <c r="X215"/>
      <c r="Y215"/>
      <c r="Z215"/>
    </row>
    <row r="216" spans="16:26" x14ac:dyDescent="0.2">
      <c r="P216" s="4"/>
      <c r="Q216" s="4"/>
      <c r="R216" s="4"/>
      <c r="S216" s="4"/>
      <c r="T216" s="4"/>
      <c r="W216"/>
      <c r="X216"/>
      <c r="Y216"/>
      <c r="Z216"/>
    </row>
    <row r="217" spans="16:26" x14ac:dyDescent="0.2">
      <c r="P217" s="4"/>
      <c r="Q217" s="4"/>
      <c r="R217" s="4"/>
      <c r="S217" s="4"/>
      <c r="T217" s="4"/>
      <c r="W217"/>
      <c r="X217"/>
      <c r="Y217"/>
      <c r="Z217"/>
    </row>
    <row r="218" spans="16:26" x14ac:dyDescent="0.2">
      <c r="P218" s="4"/>
      <c r="Q218" s="4"/>
      <c r="R218" s="4"/>
      <c r="S218" s="4"/>
      <c r="T218" s="4"/>
      <c r="W218"/>
      <c r="X218"/>
      <c r="Y218"/>
      <c r="Z218"/>
    </row>
    <row r="219" spans="16:26" x14ac:dyDescent="0.2">
      <c r="P219" s="4"/>
      <c r="Q219" s="4"/>
      <c r="R219" s="4"/>
      <c r="S219" s="4"/>
      <c r="T219" s="4"/>
      <c r="W219"/>
      <c r="X219"/>
      <c r="Y219"/>
      <c r="Z219"/>
    </row>
    <row r="220" spans="16:26" x14ac:dyDescent="0.2">
      <c r="P220" s="4"/>
      <c r="Q220" s="4"/>
      <c r="R220" s="4"/>
      <c r="S220" s="4"/>
      <c r="T220" s="4"/>
      <c r="W220"/>
      <c r="X220"/>
      <c r="Y220"/>
      <c r="Z220"/>
    </row>
    <row r="221" spans="16:26" x14ac:dyDescent="0.2">
      <c r="P221" s="4"/>
      <c r="Q221" s="4"/>
      <c r="R221" s="4"/>
      <c r="S221" s="4"/>
      <c r="T221" s="4"/>
      <c r="W221"/>
      <c r="X221"/>
      <c r="Y221"/>
      <c r="Z221"/>
    </row>
    <row r="222" spans="16:26" x14ac:dyDescent="0.2">
      <c r="P222" s="4"/>
      <c r="Q222" s="4"/>
      <c r="R222" s="4"/>
      <c r="S222" s="4"/>
      <c r="T222" s="4"/>
      <c r="W222"/>
      <c r="X222"/>
      <c r="Y222"/>
      <c r="Z222"/>
    </row>
    <row r="223" spans="16:26" x14ac:dyDescent="0.2">
      <c r="P223" s="4"/>
      <c r="Q223" s="4"/>
      <c r="R223" s="4"/>
      <c r="S223" s="4"/>
      <c r="T223" s="4"/>
      <c r="W223"/>
      <c r="X223"/>
      <c r="Y223"/>
      <c r="Z223"/>
    </row>
    <row r="224" spans="16:26" x14ac:dyDescent="0.2">
      <c r="P224" s="4"/>
      <c r="Q224" s="4"/>
      <c r="R224" s="4"/>
      <c r="S224" s="4"/>
      <c r="T224" s="4"/>
      <c r="W224"/>
      <c r="X224"/>
      <c r="Y224"/>
      <c r="Z224"/>
    </row>
    <row r="225" spans="16:26" x14ac:dyDescent="0.2">
      <c r="P225" s="4"/>
      <c r="Q225" s="4"/>
      <c r="R225" s="4"/>
      <c r="S225" s="4"/>
      <c r="T225" s="4"/>
      <c r="W225"/>
      <c r="X225"/>
      <c r="Y225"/>
      <c r="Z225"/>
    </row>
    <row r="226" spans="16:26" x14ac:dyDescent="0.2">
      <c r="P226" s="4"/>
      <c r="Q226" s="4"/>
      <c r="R226" s="4"/>
      <c r="S226" s="4"/>
      <c r="T226" s="4"/>
      <c r="W226"/>
      <c r="X226"/>
      <c r="Y226"/>
      <c r="Z226"/>
    </row>
    <row r="227" spans="16:26" x14ac:dyDescent="0.2">
      <c r="P227" s="4"/>
      <c r="Q227" s="4"/>
      <c r="R227" s="4"/>
      <c r="S227" s="4"/>
      <c r="T227" s="4"/>
      <c r="W227"/>
      <c r="X227"/>
      <c r="Y227"/>
      <c r="Z227"/>
    </row>
    <row r="228" spans="16:26" x14ac:dyDescent="0.2">
      <c r="P228" s="4"/>
      <c r="Q228" s="4"/>
      <c r="R228" s="4"/>
      <c r="S228" s="4"/>
      <c r="T228" s="4"/>
      <c r="W228"/>
      <c r="X228"/>
      <c r="Y228"/>
      <c r="Z228"/>
    </row>
    <row r="229" spans="16:26" x14ac:dyDescent="0.2">
      <c r="P229" s="4"/>
      <c r="Q229" s="4"/>
      <c r="R229" s="4"/>
      <c r="S229" s="4"/>
      <c r="T229" s="4"/>
      <c r="W229"/>
      <c r="X229"/>
      <c r="Y229"/>
      <c r="Z229"/>
    </row>
    <row r="230" spans="16:26" x14ac:dyDescent="0.2">
      <c r="P230" s="4"/>
      <c r="Q230" s="4"/>
      <c r="R230" s="4"/>
      <c r="S230" s="4"/>
      <c r="T230" s="4"/>
      <c r="W230"/>
      <c r="X230"/>
      <c r="Y230"/>
      <c r="Z230"/>
    </row>
    <row r="231" spans="16:26" x14ac:dyDescent="0.2">
      <c r="P231" s="4"/>
      <c r="Q231" s="4"/>
      <c r="R231" s="4"/>
      <c r="S231" s="4"/>
      <c r="T231" s="4"/>
      <c r="W231"/>
      <c r="X231"/>
      <c r="Y231"/>
      <c r="Z231"/>
    </row>
    <row r="232" spans="16:26" x14ac:dyDescent="0.2">
      <c r="P232" s="4"/>
      <c r="Q232" s="4"/>
      <c r="R232" s="4"/>
      <c r="S232" s="4"/>
      <c r="T232" s="4"/>
      <c r="W232"/>
      <c r="X232"/>
      <c r="Y232"/>
      <c r="Z232"/>
    </row>
    <row r="233" spans="16:26" x14ac:dyDescent="0.2">
      <c r="P233" s="4"/>
      <c r="Q233" s="4"/>
      <c r="R233" s="4"/>
      <c r="S233" s="4"/>
      <c r="T233" s="4"/>
      <c r="W233"/>
      <c r="X233"/>
      <c r="Y233"/>
      <c r="Z233"/>
    </row>
    <row r="234" spans="16:26" x14ac:dyDescent="0.2">
      <c r="P234" s="4"/>
      <c r="Q234" s="4"/>
      <c r="R234" s="4"/>
      <c r="S234" s="4"/>
      <c r="T234" s="4"/>
      <c r="W234"/>
      <c r="X234"/>
      <c r="Y234"/>
      <c r="Z234"/>
    </row>
    <row r="235" spans="16:26" x14ac:dyDescent="0.2">
      <c r="P235" s="4"/>
      <c r="Q235" s="4"/>
      <c r="R235" s="4"/>
      <c r="S235" s="4"/>
      <c r="T235" s="4"/>
      <c r="W235"/>
      <c r="X235"/>
      <c r="Y235"/>
      <c r="Z235"/>
    </row>
    <row r="236" spans="16:26" x14ac:dyDescent="0.2">
      <c r="P236" s="4"/>
      <c r="Q236" s="4"/>
      <c r="R236" s="4"/>
      <c r="S236" s="4"/>
      <c r="T236" s="4"/>
      <c r="W236"/>
      <c r="X236"/>
      <c r="Y236"/>
      <c r="Z236"/>
    </row>
    <row r="237" spans="16:26" x14ac:dyDescent="0.2">
      <c r="P237" s="4"/>
      <c r="Q237" s="4"/>
      <c r="R237" s="4"/>
      <c r="S237" s="4"/>
      <c r="T237" s="4"/>
      <c r="W237"/>
      <c r="X237"/>
      <c r="Y237"/>
      <c r="Z237"/>
    </row>
    <row r="238" spans="16:26" x14ac:dyDescent="0.2">
      <c r="P238" s="4"/>
      <c r="Q238" s="4"/>
      <c r="R238" s="4"/>
      <c r="S238" s="4"/>
      <c r="T238" s="4"/>
      <c r="W238"/>
      <c r="X238"/>
      <c r="Y238"/>
      <c r="Z238"/>
    </row>
    <row r="239" spans="16:26" x14ac:dyDescent="0.2">
      <c r="P239" s="4"/>
      <c r="Q239" s="4"/>
      <c r="R239" s="4"/>
      <c r="S239" s="4"/>
      <c r="T239" s="4"/>
      <c r="W239"/>
      <c r="X239"/>
      <c r="Y239"/>
      <c r="Z239"/>
    </row>
    <row r="240" spans="16:26" x14ac:dyDescent="0.2">
      <c r="P240" s="4"/>
      <c r="Q240" s="4"/>
      <c r="R240" s="4"/>
      <c r="S240" s="4"/>
      <c r="T240" s="4"/>
      <c r="W240"/>
      <c r="X240"/>
      <c r="Y240"/>
      <c r="Z240"/>
    </row>
    <row r="241" spans="16:26" x14ac:dyDescent="0.2">
      <c r="P241" s="4"/>
      <c r="Q241" s="4"/>
      <c r="R241" s="4"/>
      <c r="S241" s="4"/>
      <c r="T241" s="4"/>
      <c r="W241"/>
      <c r="X241"/>
      <c r="Y241"/>
      <c r="Z241"/>
    </row>
    <row r="242" spans="16:26" x14ac:dyDescent="0.2">
      <c r="P242" s="4"/>
      <c r="Q242" s="4"/>
      <c r="R242" s="4"/>
      <c r="S242" s="4"/>
      <c r="T242" s="4"/>
      <c r="W242"/>
      <c r="X242"/>
      <c r="Y242"/>
      <c r="Z242"/>
    </row>
    <row r="243" spans="16:26" x14ac:dyDescent="0.2">
      <c r="P243" s="4"/>
      <c r="Q243" s="4"/>
      <c r="R243" s="4"/>
      <c r="S243" s="4"/>
      <c r="T243" s="4"/>
      <c r="W243"/>
      <c r="X243"/>
      <c r="Y243"/>
      <c r="Z243"/>
    </row>
    <row r="244" spans="16:26" x14ac:dyDescent="0.2">
      <c r="P244" s="4"/>
      <c r="Q244" s="4"/>
      <c r="R244" s="4"/>
      <c r="S244" s="4"/>
      <c r="T244" s="4"/>
      <c r="W244"/>
      <c r="X244"/>
      <c r="Y244"/>
      <c r="Z244"/>
    </row>
    <row r="245" spans="16:26" x14ac:dyDescent="0.2">
      <c r="P245" s="4"/>
      <c r="Q245" s="4"/>
      <c r="R245" s="4"/>
      <c r="S245" s="4"/>
      <c r="T245" s="4"/>
      <c r="W245"/>
      <c r="X245"/>
      <c r="Y245"/>
      <c r="Z245"/>
    </row>
    <row r="246" spans="16:26" x14ac:dyDescent="0.2">
      <c r="P246" s="4"/>
      <c r="Q246" s="4"/>
      <c r="R246" s="4"/>
      <c r="S246" s="4"/>
      <c r="T246" s="4"/>
      <c r="W246"/>
      <c r="X246"/>
      <c r="Y246"/>
      <c r="Z246"/>
    </row>
    <row r="247" spans="16:26" x14ac:dyDescent="0.2">
      <c r="P247" s="4"/>
      <c r="Q247" s="4"/>
      <c r="R247" s="4"/>
      <c r="S247" s="4"/>
      <c r="T247" s="4"/>
      <c r="W247"/>
      <c r="X247"/>
      <c r="Y247"/>
      <c r="Z247"/>
    </row>
    <row r="248" spans="16:26" x14ac:dyDescent="0.2">
      <c r="P248" s="4"/>
      <c r="Q248" s="4"/>
      <c r="R248" s="4"/>
      <c r="S248" s="4"/>
      <c r="T248" s="4"/>
      <c r="W248"/>
      <c r="X248"/>
      <c r="Y248"/>
      <c r="Z248"/>
    </row>
    <row r="249" spans="16:26" x14ac:dyDescent="0.2">
      <c r="P249" s="4"/>
      <c r="Q249" s="4"/>
      <c r="R249" s="4"/>
      <c r="S249" s="4"/>
      <c r="T249" s="4"/>
      <c r="W249"/>
      <c r="X249"/>
      <c r="Y249"/>
      <c r="Z249"/>
    </row>
    <row r="250" spans="16:26" x14ac:dyDescent="0.2">
      <c r="P250" s="4"/>
      <c r="Q250" s="4"/>
      <c r="R250" s="4"/>
      <c r="S250" s="4"/>
      <c r="T250" s="4"/>
      <c r="W250"/>
      <c r="X250"/>
      <c r="Y250"/>
      <c r="Z250"/>
    </row>
    <row r="251" spans="16:26" x14ac:dyDescent="0.2">
      <c r="P251" s="4"/>
      <c r="Q251" s="4"/>
      <c r="R251" s="4"/>
      <c r="S251" s="4"/>
      <c r="T251" s="4"/>
      <c r="W251"/>
      <c r="X251"/>
      <c r="Y251"/>
      <c r="Z251"/>
    </row>
    <row r="252" spans="16:26" x14ac:dyDescent="0.2">
      <c r="P252" s="4"/>
      <c r="Q252" s="4"/>
      <c r="R252" s="4"/>
      <c r="S252" s="4"/>
      <c r="T252" s="4"/>
      <c r="W252"/>
      <c r="X252"/>
      <c r="Y252"/>
      <c r="Z252"/>
    </row>
    <row r="253" spans="16:26" x14ac:dyDescent="0.2">
      <c r="P253" s="4"/>
      <c r="Q253" s="4"/>
      <c r="R253" s="4"/>
      <c r="S253" s="4"/>
      <c r="T253" s="4"/>
      <c r="W253"/>
      <c r="X253"/>
      <c r="Y253"/>
      <c r="Z253"/>
    </row>
    <row r="254" spans="16:26" x14ac:dyDescent="0.2">
      <c r="P254" s="4"/>
      <c r="Q254" s="4"/>
      <c r="R254" s="4"/>
      <c r="S254" s="4"/>
      <c r="T254" s="4"/>
      <c r="W254"/>
      <c r="X254"/>
      <c r="Y254"/>
      <c r="Z254"/>
    </row>
    <row r="255" spans="16:26" x14ac:dyDescent="0.2">
      <c r="P255" s="4"/>
      <c r="Q255" s="4"/>
      <c r="R255" s="4"/>
      <c r="S255" s="4"/>
      <c r="T255" s="4"/>
      <c r="W255"/>
      <c r="X255"/>
      <c r="Y255"/>
      <c r="Z255"/>
    </row>
    <row r="256" spans="16:26" x14ac:dyDescent="0.2">
      <c r="P256" s="4"/>
      <c r="Q256" s="4"/>
      <c r="R256" s="4"/>
      <c r="S256" s="4"/>
      <c r="T256" s="4"/>
      <c r="W256"/>
      <c r="X256"/>
      <c r="Y256"/>
      <c r="Z256"/>
    </row>
    <row r="257" spans="16:26" x14ac:dyDescent="0.2">
      <c r="P257" s="4"/>
      <c r="Q257" s="4"/>
      <c r="R257" s="4"/>
      <c r="S257" s="4"/>
      <c r="T257" s="4"/>
      <c r="W257"/>
      <c r="X257"/>
      <c r="Y257"/>
      <c r="Z257"/>
    </row>
    <row r="258" spans="16:26" x14ac:dyDescent="0.2">
      <c r="P258" s="4"/>
      <c r="Q258" s="4"/>
      <c r="R258" s="4"/>
      <c r="S258" s="4"/>
      <c r="T258" s="4"/>
      <c r="W258"/>
      <c r="X258"/>
      <c r="Y258"/>
      <c r="Z258"/>
    </row>
    <row r="259" spans="16:26" x14ac:dyDescent="0.2">
      <c r="P259" s="4"/>
      <c r="Q259" s="4"/>
      <c r="R259" s="4"/>
      <c r="S259" s="4"/>
      <c r="T259" s="4"/>
      <c r="W259"/>
      <c r="X259"/>
      <c r="Y259"/>
      <c r="Z259"/>
    </row>
    <row r="260" spans="16:26" x14ac:dyDescent="0.2">
      <c r="P260" s="4"/>
      <c r="Q260" s="4"/>
      <c r="R260" s="4"/>
      <c r="S260" s="4"/>
      <c r="T260" s="4"/>
      <c r="W260"/>
      <c r="X260"/>
      <c r="Y260"/>
      <c r="Z260"/>
    </row>
    <row r="261" spans="16:26" x14ac:dyDescent="0.2">
      <c r="P261" s="4"/>
      <c r="Q261" s="4"/>
      <c r="R261" s="4"/>
      <c r="S261" s="4"/>
      <c r="T261" s="4"/>
      <c r="W261"/>
      <c r="X261"/>
      <c r="Y261"/>
      <c r="Z261"/>
    </row>
    <row r="262" spans="16:26" x14ac:dyDescent="0.2">
      <c r="P262" s="4"/>
      <c r="Q262" s="4"/>
      <c r="R262" s="4"/>
      <c r="S262" s="4"/>
      <c r="T262" s="4"/>
      <c r="W262"/>
      <c r="X262"/>
      <c r="Y262"/>
      <c r="Z262"/>
    </row>
    <row r="263" spans="16:26" x14ac:dyDescent="0.2">
      <c r="P263" s="4"/>
      <c r="Q263" s="4"/>
      <c r="R263" s="4"/>
      <c r="S263" s="4"/>
      <c r="T263" s="4"/>
      <c r="W263"/>
      <c r="X263"/>
      <c r="Y263"/>
      <c r="Z263"/>
    </row>
    <row r="264" spans="16:26" x14ac:dyDescent="0.2">
      <c r="P264" s="4"/>
      <c r="Q264" s="4"/>
      <c r="R264" s="4"/>
      <c r="S264" s="4"/>
      <c r="T264" s="4"/>
      <c r="W264"/>
      <c r="X264"/>
      <c r="Y264"/>
      <c r="Z264"/>
    </row>
    <row r="265" spans="16:26" x14ac:dyDescent="0.2">
      <c r="P265" s="4"/>
      <c r="Q265" s="4"/>
      <c r="R265" s="4"/>
      <c r="S265" s="4"/>
      <c r="T265" s="4"/>
      <c r="W265"/>
      <c r="X265"/>
      <c r="Y265"/>
      <c r="Z265"/>
    </row>
    <row r="266" spans="16:26" x14ac:dyDescent="0.2">
      <c r="P266" s="4"/>
      <c r="Q266" s="4"/>
      <c r="R266" s="4"/>
      <c r="S266" s="4"/>
      <c r="T266" s="4"/>
      <c r="W266"/>
      <c r="X266"/>
      <c r="Y266"/>
      <c r="Z266"/>
    </row>
    <row r="267" spans="16:26" x14ac:dyDescent="0.2">
      <c r="P267" s="4"/>
      <c r="Q267" s="4"/>
      <c r="R267" s="4"/>
      <c r="S267" s="4"/>
      <c r="T267" s="4"/>
      <c r="W267"/>
      <c r="X267"/>
      <c r="Y267"/>
      <c r="Z267"/>
    </row>
    <row r="268" spans="16:26" x14ac:dyDescent="0.2">
      <c r="P268" s="4"/>
      <c r="Q268" s="4"/>
      <c r="R268" s="4"/>
      <c r="S268" s="4"/>
      <c r="T268" s="4"/>
      <c r="W268"/>
      <c r="X268"/>
      <c r="Y268"/>
      <c r="Z268"/>
    </row>
    <row r="269" spans="16:26" x14ac:dyDescent="0.2">
      <c r="P269" s="4"/>
      <c r="Q269" s="4"/>
      <c r="R269" s="4"/>
      <c r="S269" s="4"/>
      <c r="T269" s="4"/>
      <c r="W269"/>
      <c r="X269"/>
      <c r="Y269"/>
      <c r="Z269"/>
    </row>
    <row r="270" spans="16:26" x14ac:dyDescent="0.2">
      <c r="P270" s="4"/>
      <c r="Q270" s="4"/>
      <c r="R270" s="4"/>
      <c r="S270" s="4"/>
      <c r="T270" s="4"/>
      <c r="W270"/>
      <c r="X270"/>
      <c r="Y270"/>
      <c r="Z270"/>
    </row>
    <row r="271" spans="16:26" x14ac:dyDescent="0.2">
      <c r="P271" s="4"/>
      <c r="Q271" s="4"/>
      <c r="R271" s="4"/>
      <c r="S271" s="4"/>
      <c r="T271" s="4"/>
      <c r="W271"/>
      <c r="X271"/>
      <c r="Y271"/>
      <c r="Z271"/>
    </row>
    <row r="272" spans="16:26" x14ac:dyDescent="0.2">
      <c r="P272" s="4"/>
      <c r="Q272" s="4"/>
      <c r="R272" s="4"/>
      <c r="S272" s="4"/>
      <c r="T272" s="4"/>
      <c r="W272"/>
      <c r="X272"/>
      <c r="Y272"/>
      <c r="Z272"/>
    </row>
    <row r="273" spans="16:26" x14ac:dyDescent="0.2">
      <c r="P273" s="4"/>
      <c r="Q273" s="4"/>
      <c r="R273" s="4"/>
      <c r="S273" s="4"/>
      <c r="T273" s="4"/>
      <c r="W273"/>
      <c r="X273"/>
      <c r="Y273"/>
      <c r="Z273"/>
    </row>
    <row r="274" spans="16:26" x14ac:dyDescent="0.2">
      <c r="P274" s="4"/>
      <c r="Q274" s="4"/>
      <c r="R274" s="4"/>
      <c r="S274" s="4"/>
      <c r="T274" s="4"/>
      <c r="W274"/>
      <c r="X274"/>
      <c r="Y274"/>
      <c r="Z274"/>
    </row>
    <row r="275" spans="16:26" x14ac:dyDescent="0.2">
      <c r="P275" s="4"/>
      <c r="Q275" s="4"/>
      <c r="R275" s="4"/>
      <c r="S275" s="4"/>
      <c r="T275" s="4"/>
      <c r="W275"/>
      <c r="X275"/>
      <c r="Y275"/>
      <c r="Z275"/>
    </row>
    <row r="276" spans="16:26" x14ac:dyDescent="0.2">
      <c r="P276" s="4"/>
      <c r="Q276" s="4"/>
      <c r="R276" s="4"/>
      <c r="S276" s="4"/>
      <c r="T276" s="4"/>
      <c r="W276"/>
      <c r="X276"/>
      <c r="Y276"/>
      <c r="Z276"/>
    </row>
    <row r="277" spans="16:26" x14ac:dyDescent="0.2">
      <c r="P277" s="4"/>
      <c r="Q277" s="4"/>
      <c r="R277" s="4"/>
      <c r="S277" s="4"/>
      <c r="T277" s="4"/>
      <c r="W277"/>
      <c r="X277"/>
      <c r="Y277"/>
      <c r="Z277"/>
    </row>
    <row r="278" spans="16:26" x14ac:dyDescent="0.2">
      <c r="P278" s="4"/>
      <c r="Q278" s="4"/>
      <c r="R278" s="4"/>
      <c r="S278" s="4"/>
      <c r="T278" s="4"/>
      <c r="W278"/>
      <c r="X278"/>
      <c r="Y278"/>
      <c r="Z278"/>
    </row>
    <row r="279" spans="16:26" x14ac:dyDescent="0.2">
      <c r="P279" s="4"/>
      <c r="Q279" s="4"/>
      <c r="R279" s="4"/>
      <c r="S279" s="4"/>
      <c r="T279" s="4"/>
      <c r="W279"/>
      <c r="X279"/>
      <c r="Y279"/>
      <c r="Z279"/>
    </row>
    <row r="280" spans="16:26" x14ac:dyDescent="0.2">
      <c r="P280" s="4"/>
      <c r="Q280" s="4"/>
      <c r="R280" s="4"/>
      <c r="S280" s="4"/>
      <c r="T280" s="4"/>
      <c r="W280"/>
      <c r="X280"/>
      <c r="Y280"/>
      <c r="Z280"/>
    </row>
    <row r="281" spans="16:26" x14ac:dyDescent="0.2">
      <c r="P281" s="4"/>
      <c r="Q281" s="4"/>
      <c r="R281" s="4"/>
      <c r="S281" s="4"/>
      <c r="T281" s="4"/>
      <c r="W281"/>
      <c r="X281"/>
      <c r="Y281"/>
      <c r="Z281"/>
    </row>
    <row r="282" spans="16:26" x14ac:dyDescent="0.2">
      <c r="P282" s="4"/>
      <c r="Q282" s="4"/>
      <c r="R282" s="4"/>
      <c r="S282" s="4"/>
      <c r="T282" s="4"/>
      <c r="W282"/>
      <c r="X282"/>
      <c r="Y282"/>
      <c r="Z282"/>
    </row>
    <row r="283" spans="16:26" x14ac:dyDescent="0.2">
      <c r="P283" s="4"/>
      <c r="Q283" s="4"/>
      <c r="R283" s="4"/>
      <c r="S283" s="4"/>
      <c r="T283" s="4"/>
      <c r="W283"/>
      <c r="X283"/>
      <c r="Y283"/>
      <c r="Z283"/>
    </row>
    <row r="284" spans="16:26" x14ac:dyDescent="0.2">
      <c r="P284" s="4"/>
      <c r="Q284" s="4"/>
      <c r="R284" s="4"/>
      <c r="S284" s="4"/>
      <c r="T284" s="4"/>
      <c r="W284"/>
      <c r="X284"/>
      <c r="Y284"/>
      <c r="Z284"/>
    </row>
    <row r="285" spans="16:26" x14ac:dyDescent="0.2">
      <c r="P285" s="4"/>
      <c r="Q285" s="4"/>
      <c r="R285" s="4"/>
      <c r="S285" s="4"/>
      <c r="T285" s="4"/>
      <c r="W285"/>
      <c r="X285"/>
      <c r="Y285"/>
      <c r="Z285"/>
    </row>
    <row r="286" spans="16:26" x14ac:dyDescent="0.2">
      <c r="P286" s="4"/>
      <c r="Q286" s="4"/>
      <c r="R286" s="4"/>
      <c r="S286" s="4"/>
      <c r="T286" s="4"/>
      <c r="W286"/>
      <c r="X286"/>
      <c r="Y286"/>
      <c r="Z286"/>
    </row>
    <row r="287" spans="16:26" x14ac:dyDescent="0.2">
      <c r="P287" s="4"/>
      <c r="Q287" s="4"/>
      <c r="R287" s="4"/>
      <c r="S287" s="4"/>
      <c r="T287" s="4"/>
      <c r="W287"/>
      <c r="X287"/>
      <c r="Y287"/>
      <c r="Z287"/>
    </row>
    <row r="288" spans="16:26" x14ac:dyDescent="0.2">
      <c r="P288" s="4"/>
      <c r="Q288" s="4"/>
      <c r="R288" s="4"/>
      <c r="S288" s="4"/>
      <c r="T288" s="4"/>
      <c r="W288"/>
      <c r="X288"/>
      <c r="Y288"/>
      <c r="Z288"/>
    </row>
    <row r="289" spans="16:26" x14ac:dyDescent="0.2">
      <c r="P289" s="4"/>
      <c r="Q289" s="4"/>
      <c r="R289" s="4"/>
      <c r="S289" s="4"/>
      <c r="T289" s="4"/>
      <c r="W289"/>
      <c r="X289"/>
      <c r="Y289"/>
      <c r="Z289"/>
    </row>
    <row r="290" spans="16:26" x14ac:dyDescent="0.2">
      <c r="P290" s="4"/>
      <c r="Q290" s="4"/>
      <c r="R290" s="4"/>
      <c r="S290" s="4"/>
      <c r="T290" s="4"/>
      <c r="W290"/>
      <c r="X290"/>
      <c r="Y290"/>
      <c r="Z290"/>
    </row>
    <row r="291" spans="16:26" x14ac:dyDescent="0.2">
      <c r="P291" s="4"/>
      <c r="Q291" s="4"/>
      <c r="R291" s="4"/>
      <c r="S291" s="4"/>
      <c r="T291" s="4"/>
      <c r="W291"/>
      <c r="X291"/>
      <c r="Y291"/>
      <c r="Z291"/>
    </row>
    <row r="292" spans="16:26" x14ac:dyDescent="0.2">
      <c r="P292" s="4"/>
      <c r="Q292" s="4"/>
      <c r="R292" s="4"/>
      <c r="S292" s="4"/>
      <c r="T292" s="4"/>
      <c r="W292"/>
      <c r="X292"/>
      <c r="Y292"/>
      <c r="Z292"/>
    </row>
    <row r="293" spans="16:26" x14ac:dyDescent="0.2">
      <c r="P293" s="4"/>
      <c r="Q293" s="4"/>
      <c r="R293" s="4"/>
      <c r="S293" s="4"/>
      <c r="T293" s="4"/>
      <c r="W293"/>
      <c r="X293"/>
      <c r="Y293"/>
      <c r="Z293"/>
    </row>
    <row r="294" spans="16:26" x14ac:dyDescent="0.2">
      <c r="P294" s="4"/>
      <c r="Q294" s="4"/>
      <c r="R294" s="4"/>
      <c r="S294" s="4"/>
      <c r="T294" s="4"/>
      <c r="W294"/>
      <c r="X294"/>
      <c r="Y294"/>
      <c r="Z294"/>
    </row>
    <row r="295" spans="16:26" x14ac:dyDescent="0.2">
      <c r="P295" s="4"/>
      <c r="Q295" s="4"/>
      <c r="R295" s="4"/>
      <c r="S295" s="4"/>
      <c r="T295" s="4"/>
      <c r="W295"/>
      <c r="X295"/>
      <c r="Y295"/>
      <c r="Z295"/>
    </row>
    <row r="296" spans="16:26" x14ac:dyDescent="0.2">
      <c r="P296" s="4"/>
      <c r="Q296" s="4"/>
      <c r="R296" s="4"/>
      <c r="S296" s="4"/>
      <c r="T296" s="4"/>
      <c r="W296"/>
      <c r="X296"/>
      <c r="Y296"/>
      <c r="Z296"/>
    </row>
    <row r="297" spans="16:26" x14ac:dyDescent="0.2">
      <c r="P297" s="4"/>
      <c r="Q297" s="4"/>
      <c r="R297" s="4"/>
      <c r="S297" s="4"/>
      <c r="T297" s="4"/>
      <c r="W297"/>
      <c r="X297"/>
      <c r="Y297"/>
      <c r="Z297"/>
    </row>
    <row r="298" spans="16:26" x14ac:dyDescent="0.2">
      <c r="P298" s="4"/>
      <c r="Q298" s="4"/>
      <c r="R298" s="4"/>
      <c r="S298" s="4"/>
      <c r="T298" s="4"/>
      <c r="W298"/>
      <c r="X298"/>
      <c r="Y298"/>
      <c r="Z298"/>
    </row>
    <row r="299" spans="16:26" x14ac:dyDescent="0.2">
      <c r="P299" s="4"/>
      <c r="Q299" s="4"/>
      <c r="R299" s="4"/>
      <c r="S299" s="4"/>
      <c r="T299" s="4"/>
      <c r="W299"/>
      <c r="X299"/>
      <c r="Y299"/>
      <c r="Z299"/>
    </row>
    <row r="300" spans="16:26" x14ac:dyDescent="0.2">
      <c r="P300" s="4"/>
      <c r="Q300" s="4"/>
      <c r="R300" s="4"/>
      <c r="S300" s="4"/>
      <c r="T300" s="4"/>
      <c r="W300"/>
      <c r="X300"/>
      <c r="Y300"/>
      <c r="Z300"/>
    </row>
    <row r="301" spans="16:26" x14ac:dyDescent="0.2">
      <c r="P301" s="4"/>
      <c r="Q301" s="4"/>
      <c r="R301" s="4"/>
      <c r="S301" s="4"/>
      <c r="T301" s="4"/>
      <c r="W301"/>
      <c r="X301"/>
      <c r="Y301"/>
      <c r="Z301"/>
    </row>
    <row r="302" spans="16:26" x14ac:dyDescent="0.2">
      <c r="P302" s="4"/>
      <c r="Q302" s="4"/>
      <c r="R302" s="4"/>
      <c r="S302" s="4"/>
      <c r="T302" s="4"/>
      <c r="W302"/>
      <c r="X302"/>
      <c r="Y302"/>
      <c r="Z302"/>
    </row>
    <row r="303" spans="16:26" x14ac:dyDescent="0.2">
      <c r="P303" s="4"/>
      <c r="Q303" s="4"/>
      <c r="R303" s="4"/>
      <c r="S303" s="4"/>
      <c r="T303" s="4"/>
      <c r="W303"/>
      <c r="X303"/>
      <c r="Y303"/>
      <c r="Z303"/>
    </row>
    <row r="304" spans="16:26" x14ac:dyDescent="0.2">
      <c r="P304" s="4"/>
      <c r="Q304" s="4"/>
      <c r="R304" s="4"/>
      <c r="S304" s="4"/>
      <c r="T304" s="4"/>
      <c r="W304"/>
      <c r="X304"/>
      <c r="Y304"/>
      <c r="Z304"/>
    </row>
    <row r="305" spans="16:26" x14ac:dyDescent="0.2">
      <c r="P305" s="4"/>
      <c r="Q305" s="4"/>
      <c r="R305" s="4"/>
      <c r="S305" s="4"/>
      <c r="T305" s="4"/>
      <c r="W305"/>
      <c r="X305"/>
      <c r="Y305"/>
      <c r="Z305"/>
    </row>
    <row r="306" spans="16:26" x14ac:dyDescent="0.2">
      <c r="P306" s="4"/>
      <c r="Q306" s="4"/>
      <c r="R306" s="4"/>
      <c r="S306" s="4"/>
      <c r="T306" s="4"/>
      <c r="W306"/>
      <c r="X306"/>
      <c r="Y306"/>
      <c r="Z306"/>
    </row>
    <row r="307" spans="16:26" x14ac:dyDescent="0.2">
      <c r="P307" s="4"/>
      <c r="Q307" s="4"/>
      <c r="R307" s="4"/>
      <c r="S307" s="4"/>
      <c r="T307" s="4"/>
      <c r="W307"/>
      <c r="X307"/>
      <c r="Y307"/>
      <c r="Z307"/>
    </row>
    <row r="308" spans="16:26" x14ac:dyDescent="0.2">
      <c r="P308" s="4"/>
      <c r="Q308" s="4"/>
      <c r="R308" s="4"/>
      <c r="S308" s="4"/>
      <c r="T308" s="4"/>
      <c r="W308"/>
      <c r="X308"/>
      <c r="Y308"/>
      <c r="Z308"/>
    </row>
    <row r="309" spans="16:26" x14ac:dyDescent="0.2">
      <c r="P309" s="4"/>
      <c r="Q309" s="4"/>
      <c r="R309" s="4"/>
      <c r="S309" s="4"/>
      <c r="T309" s="4"/>
      <c r="W309"/>
      <c r="X309"/>
      <c r="Y309"/>
      <c r="Z309"/>
    </row>
    <row r="310" spans="16:26" x14ac:dyDescent="0.2">
      <c r="P310" s="4"/>
      <c r="Q310" s="4"/>
      <c r="R310" s="4"/>
      <c r="S310" s="4"/>
      <c r="T310" s="4"/>
      <c r="W310"/>
      <c r="X310"/>
      <c r="Y310"/>
      <c r="Z310"/>
    </row>
    <row r="311" spans="16:26" x14ac:dyDescent="0.2">
      <c r="P311" s="4"/>
      <c r="Q311" s="4"/>
      <c r="R311" s="4"/>
      <c r="S311" s="4"/>
      <c r="T311" s="4"/>
      <c r="W311"/>
      <c r="X311"/>
      <c r="Y311"/>
      <c r="Z311"/>
    </row>
    <row r="312" spans="16:26" x14ac:dyDescent="0.2">
      <c r="P312" s="4"/>
      <c r="Q312" s="4"/>
      <c r="R312" s="4"/>
      <c r="S312" s="4"/>
      <c r="T312" s="4"/>
      <c r="W312"/>
      <c r="X312"/>
      <c r="Y312"/>
      <c r="Z312"/>
    </row>
    <row r="313" spans="16:26" x14ac:dyDescent="0.2">
      <c r="P313" s="4"/>
      <c r="Q313" s="4"/>
      <c r="R313" s="4"/>
      <c r="S313" s="4"/>
      <c r="T313" s="4"/>
      <c r="W313"/>
      <c r="X313"/>
      <c r="Y313"/>
      <c r="Z313"/>
    </row>
    <row r="314" spans="16:26" x14ac:dyDescent="0.2">
      <c r="P314" s="4"/>
      <c r="Q314" s="4"/>
      <c r="R314" s="4"/>
      <c r="S314" s="4"/>
      <c r="T314" s="4"/>
      <c r="W314"/>
      <c r="X314"/>
      <c r="Y314"/>
      <c r="Z314"/>
    </row>
    <row r="315" spans="16:26" x14ac:dyDescent="0.2">
      <c r="P315" s="4"/>
      <c r="Q315" s="4"/>
      <c r="R315" s="4"/>
      <c r="S315" s="4"/>
      <c r="T315" s="4"/>
      <c r="W315"/>
      <c r="X315"/>
      <c r="Y315"/>
      <c r="Z315"/>
    </row>
    <row r="316" spans="16:26" x14ac:dyDescent="0.2">
      <c r="P316" s="4"/>
      <c r="Q316" s="4"/>
      <c r="R316" s="4"/>
      <c r="S316" s="4"/>
      <c r="T316" s="4"/>
      <c r="W316"/>
      <c r="X316"/>
      <c r="Y316"/>
      <c r="Z316"/>
    </row>
    <row r="317" spans="16:26" x14ac:dyDescent="0.2">
      <c r="P317" s="4"/>
      <c r="Q317" s="4"/>
      <c r="R317" s="4"/>
      <c r="S317" s="4"/>
      <c r="T317" s="4"/>
      <c r="W317"/>
      <c r="X317"/>
      <c r="Y317"/>
      <c r="Z317"/>
    </row>
    <row r="318" spans="16:26" x14ac:dyDescent="0.2">
      <c r="P318" s="4"/>
      <c r="Q318" s="4"/>
      <c r="R318" s="4"/>
      <c r="S318" s="4"/>
      <c r="T318" s="4"/>
      <c r="W318"/>
      <c r="X318"/>
      <c r="Y318"/>
      <c r="Z318"/>
    </row>
    <row r="319" spans="16:26" x14ac:dyDescent="0.2">
      <c r="P319" s="4"/>
      <c r="Q319" s="4"/>
      <c r="R319" s="4"/>
      <c r="S319" s="4"/>
      <c r="T319" s="4"/>
      <c r="W319"/>
      <c r="X319"/>
      <c r="Y319"/>
      <c r="Z319"/>
    </row>
    <row r="320" spans="16:26" x14ac:dyDescent="0.2">
      <c r="P320" s="4"/>
      <c r="Q320" s="4"/>
      <c r="R320" s="4"/>
      <c r="S320" s="4"/>
      <c r="T320" s="4"/>
      <c r="W320"/>
      <c r="X320"/>
      <c r="Y320"/>
      <c r="Z320"/>
    </row>
    <row r="321" spans="16:26" x14ac:dyDescent="0.2">
      <c r="P321" s="4"/>
      <c r="Q321" s="4"/>
      <c r="R321" s="4"/>
      <c r="S321" s="4"/>
      <c r="T321" s="4"/>
      <c r="W321"/>
      <c r="X321"/>
      <c r="Y321"/>
      <c r="Z321"/>
    </row>
    <row r="322" spans="16:26" x14ac:dyDescent="0.2">
      <c r="P322" s="4"/>
      <c r="Q322" s="4"/>
      <c r="R322" s="4"/>
      <c r="S322" s="4"/>
      <c r="T322" s="4"/>
      <c r="W322"/>
      <c r="X322"/>
      <c r="Y322"/>
      <c r="Z322"/>
    </row>
    <row r="323" spans="16:26" x14ac:dyDescent="0.2">
      <c r="P323" s="4"/>
      <c r="Q323" s="4"/>
      <c r="R323" s="4"/>
      <c r="S323" s="4"/>
      <c r="T323" s="4"/>
      <c r="W323"/>
      <c r="X323"/>
      <c r="Y323"/>
      <c r="Z323"/>
    </row>
    <row r="324" spans="16:26" x14ac:dyDescent="0.2">
      <c r="P324" s="4"/>
      <c r="Q324" s="4"/>
      <c r="R324" s="4"/>
      <c r="S324" s="4"/>
      <c r="T324" s="4"/>
      <c r="W324"/>
      <c r="X324"/>
      <c r="Y324"/>
      <c r="Z324"/>
    </row>
    <row r="325" spans="16:26" x14ac:dyDescent="0.2">
      <c r="P325" s="4"/>
      <c r="Q325" s="4"/>
      <c r="R325" s="4"/>
      <c r="S325" s="4"/>
      <c r="T325" s="4"/>
      <c r="W325"/>
      <c r="X325"/>
      <c r="Y325"/>
      <c r="Z325"/>
    </row>
    <row r="326" spans="16:26" x14ac:dyDescent="0.2">
      <c r="P326" s="4"/>
      <c r="Q326" s="4"/>
      <c r="R326" s="4"/>
      <c r="S326" s="4"/>
      <c r="T326" s="4"/>
      <c r="W326"/>
      <c r="X326"/>
      <c r="Y326"/>
      <c r="Z326"/>
    </row>
    <row r="327" spans="16:26" x14ac:dyDescent="0.2">
      <c r="P327" s="4"/>
      <c r="Q327" s="4"/>
      <c r="R327" s="4"/>
      <c r="S327" s="4"/>
      <c r="T327" s="4"/>
      <c r="W327"/>
      <c r="X327"/>
      <c r="Y327"/>
      <c r="Z327"/>
    </row>
    <row r="328" spans="16:26" x14ac:dyDescent="0.2">
      <c r="P328" s="4"/>
      <c r="Q328" s="4"/>
      <c r="R328" s="4"/>
      <c r="S328" s="4"/>
      <c r="T328" s="4"/>
      <c r="W328"/>
      <c r="X328"/>
      <c r="Y328"/>
      <c r="Z328"/>
    </row>
    <row r="329" spans="16:26" x14ac:dyDescent="0.2">
      <c r="P329" s="4"/>
      <c r="Q329" s="4"/>
      <c r="R329" s="4"/>
      <c r="S329" s="4"/>
      <c r="T329" s="4"/>
      <c r="W329"/>
      <c r="X329"/>
      <c r="Y329"/>
      <c r="Z329"/>
    </row>
    <row r="330" spans="16:26" x14ac:dyDescent="0.2">
      <c r="P330" s="4"/>
      <c r="Q330" s="4"/>
      <c r="R330" s="4"/>
      <c r="S330" s="4"/>
      <c r="T330" s="4"/>
      <c r="W330"/>
      <c r="X330"/>
      <c r="Y330"/>
      <c r="Z330"/>
    </row>
  </sheetData>
  <sheetProtection password="8677" sheet="1" objects="1" scenarios="1"/>
  <mergeCells count="16">
    <mergeCell ref="J16:K16"/>
    <mergeCell ref="H15:I15"/>
    <mergeCell ref="H14:J14"/>
    <mergeCell ref="E66:J66"/>
    <mergeCell ref="H12:J13"/>
    <mergeCell ref="E12:F12"/>
    <mergeCell ref="E13:F13"/>
    <mergeCell ref="E14:F14"/>
    <mergeCell ref="I50:J50"/>
    <mergeCell ref="I54:J54"/>
    <mergeCell ref="C43:J43"/>
    <mergeCell ref="C45:J45"/>
    <mergeCell ref="F49:J49"/>
    <mergeCell ref="F53:J53"/>
    <mergeCell ref="C20:J20"/>
    <mergeCell ref="H16:I16"/>
  </mergeCells>
  <conditionalFormatting sqref="I26">
    <cfRule type="expression" dxfId="66" priority="31">
      <formula>0=$W$29</formula>
    </cfRule>
    <cfRule type="expression" dxfId="65" priority="32">
      <formula>1=$W$29</formula>
    </cfRule>
  </conditionalFormatting>
  <conditionalFormatting sqref="I27">
    <cfRule type="expression" dxfId="64" priority="22">
      <formula>1=$X$29</formula>
    </cfRule>
    <cfRule type="expression" dxfId="63" priority="23">
      <formula>0=$X$29</formula>
    </cfRule>
  </conditionalFormatting>
  <conditionalFormatting sqref="I28">
    <cfRule type="expression" dxfId="62" priority="19">
      <formula>1=$Y$29</formula>
    </cfRule>
    <cfRule type="expression" dxfId="61" priority="20">
      <formula>0=$Y$29</formula>
    </cfRule>
  </conditionalFormatting>
  <conditionalFormatting sqref="H52">
    <cfRule type="expression" dxfId="60" priority="17">
      <formula>AND(NOT(M52=1),H52="")</formula>
    </cfRule>
  </conditionalFormatting>
  <conditionalFormatting sqref="H48">
    <cfRule type="expression" dxfId="59" priority="16">
      <formula>AND(NOT(M49=1),H48="")</formula>
    </cfRule>
  </conditionalFormatting>
  <conditionalFormatting sqref="H56">
    <cfRule type="expression" dxfId="58" priority="15">
      <formula>AND(NOT(M56=4),H56="")</formula>
    </cfRule>
  </conditionalFormatting>
  <conditionalFormatting sqref="F56">
    <cfRule type="expression" dxfId="57" priority="14">
      <formula>AND(NOT(M56=4),F56="")</formula>
    </cfRule>
  </conditionalFormatting>
  <conditionalFormatting sqref="G56">
    <cfRule type="expression" dxfId="56" priority="13">
      <formula>AND(NOT(M56=4),G56="")</formula>
    </cfRule>
  </conditionalFormatting>
  <dataValidations count="3">
    <dataValidation type="list" allowBlank="1" showInputMessage="1" showErrorMessage="1" sqref="I26">
      <formula1>$W$30:$W$31</formula1>
    </dataValidation>
    <dataValidation type="list" allowBlank="1" showInputMessage="1" showErrorMessage="1" sqref="I27">
      <formula1>$X$30:$X$31</formula1>
    </dataValidation>
    <dataValidation type="list" allowBlank="1" showInputMessage="1" showErrorMessage="1" sqref="I28">
      <formula1>$Y$30:$Y$31</formula1>
    </dataValidation>
  </dataValidations>
  <hyperlinks>
    <hyperlink ref="O21" location="Kulturen!A1" display="Registerblatt Kulturen"/>
    <hyperlink ref="O16" location="Gemarkungen!A1" display="Registerblatt Gemarkungen / Vergleichsgebiet"/>
    <hyperlink ref="O49" location="Due_org!A1" display="Registerblatt org.Dünger"/>
    <hyperlink ref="O40" location="Bodenarten!A1" display="Registerblatt Bodenart"/>
    <hyperlink ref="O41" location="Ackerzahl!A1" display="Registerblatt Ackerzahl"/>
    <hyperlink ref="O52" location="Due_org!A1" display="Registerblatt organische Dünger"/>
    <hyperlink ref="O68" location="Mais_Boden!A1" display="Registerblatt Bodennachlieferung Mais"/>
    <hyperlink ref="O72" location="Due_org!A1" display="Registerblatt organische Dünger"/>
    <hyperlink ref="O42" location="AB_Kalk!A1" display="Registerblatt Stammdaten Kalk-Acker"/>
    <hyperlink ref="O43" location="Humus!A1" display="Registerblatt Humus"/>
    <hyperlink ref="O56" location="Due_org!A1" display="Registerblatt organische Dünger"/>
    <hyperlink ref="O60" location="Vorfruechte!A1" display="Registerblatt Vorfrucht, Kultur"/>
    <hyperlink ref="O61" location="Zwfru!A1" display="Registerblatt Zwischenfrucht, Kultur"/>
    <hyperlink ref="O62" location="Vorfruechte!A1" display="Registerblatt Vorfrucht, Strohabfuhr, nein, Ja"/>
    <hyperlink ref="O64" location="Due_org!A1" display="Registerblatt org.Dünger"/>
    <hyperlink ref="I35" r:id="rId1"/>
  </hyperlinks>
  <pageMargins left="0.62992125984251968" right="0.23622047244094488" top="0.78740157480314965" bottom="0.78740157480314965" header="0.31496062992125984" footer="0.31496062992125984"/>
  <pageSetup paperSize="9" scale="76" orientation="portrait" r:id="rId2"/>
  <headerFooter>
    <oddFooter>&amp;LDüngung BW&amp;C&amp;F&amp;A&amp;R&amp;D</oddFooter>
  </headerFooter>
  <rowBreaks count="1" manualBreakCount="1">
    <brk id="52" min="2"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7169" r:id="rId5" name="Drop Down 1">
              <controlPr defaultSize="0" autoLine="0" autoPict="0">
                <anchor moveWithCells="1">
                  <from>
                    <xdr:col>3</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7170" r:id="rId6" name="Drop Down 2">
              <controlPr defaultSize="0" autoLine="0" autoPict="0">
                <anchor moveWithCells="1">
                  <from>
                    <xdr:col>3</xdr:col>
                    <xdr:colOff>0</xdr:colOff>
                    <xdr:row>59</xdr:row>
                    <xdr:rowOff>0</xdr:rowOff>
                  </from>
                  <to>
                    <xdr:col>6</xdr:col>
                    <xdr:colOff>0</xdr:colOff>
                    <xdr:row>60</xdr:row>
                    <xdr:rowOff>0</xdr:rowOff>
                  </to>
                </anchor>
              </controlPr>
            </control>
          </mc:Choice>
        </mc:AlternateContent>
        <mc:AlternateContent xmlns:mc="http://schemas.openxmlformats.org/markup-compatibility/2006">
          <mc:Choice Requires="x14">
            <control shapeId="7175" r:id="rId7" name="Drop Down 7">
              <controlPr defaultSize="0" autoLine="0" autoPict="0">
                <anchor moveWithCells="1">
                  <from>
                    <xdr:col>2</xdr:col>
                    <xdr:colOff>9525</xdr:colOff>
                    <xdr:row>47</xdr:row>
                    <xdr:rowOff>0</xdr:rowOff>
                  </from>
                  <to>
                    <xdr:col>5</xdr:col>
                    <xdr:colOff>0</xdr:colOff>
                    <xdr:row>48</xdr:row>
                    <xdr:rowOff>0</xdr:rowOff>
                  </to>
                </anchor>
              </controlPr>
            </control>
          </mc:Choice>
        </mc:AlternateContent>
        <mc:AlternateContent xmlns:mc="http://schemas.openxmlformats.org/markup-compatibility/2006">
          <mc:Choice Requires="x14">
            <control shapeId="7176" r:id="rId8" name="Drop Down 8">
              <controlPr defaultSize="0" autoLine="0" autoPict="0">
                <anchor moveWithCells="1">
                  <from>
                    <xdr:col>3</xdr:col>
                    <xdr:colOff>0</xdr:colOff>
                    <xdr:row>38</xdr:row>
                    <xdr:rowOff>0</xdr:rowOff>
                  </from>
                  <to>
                    <xdr:col>5</xdr:col>
                    <xdr:colOff>771525</xdr:colOff>
                    <xdr:row>39</xdr:row>
                    <xdr:rowOff>0</xdr:rowOff>
                  </to>
                </anchor>
              </controlPr>
            </control>
          </mc:Choice>
        </mc:AlternateContent>
        <mc:AlternateContent xmlns:mc="http://schemas.openxmlformats.org/markup-compatibility/2006">
          <mc:Choice Requires="x14">
            <control shapeId="7177" r:id="rId9" name="Drop Down 9">
              <controlPr defaultSize="0" autoLine="0" autoPict="0">
                <anchor moveWithCells="1">
                  <from>
                    <xdr:col>2</xdr:col>
                    <xdr:colOff>9525</xdr:colOff>
                    <xdr:row>41</xdr:row>
                    <xdr:rowOff>9525</xdr:rowOff>
                  </from>
                  <to>
                    <xdr:col>4</xdr:col>
                    <xdr:colOff>0</xdr:colOff>
                    <xdr:row>42</xdr:row>
                    <xdr:rowOff>0</xdr:rowOff>
                  </to>
                </anchor>
              </controlPr>
            </control>
          </mc:Choice>
        </mc:AlternateContent>
        <mc:AlternateContent xmlns:mc="http://schemas.openxmlformats.org/markup-compatibility/2006">
          <mc:Choice Requires="x14">
            <control shapeId="7178" r:id="rId10" name="Drop Down 10">
              <controlPr defaultSize="0" autoLine="0" autoPict="0">
                <anchor moveWithCells="1">
                  <from>
                    <xdr:col>2</xdr:col>
                    <xdr:colOff>0</xdr:colOff>
                    <xdr:row>51</xdr:row>
                    <xdr:rowOff>0</xdr:rowOff>
                  </from>
                  <to>
                    <xdr:col>5</xdr:col>
                    <xdr:colOff>0</xdr:colOff>
                    <xdr:row>52</xdr:row>
                    <xdr:rowOff>0</xdr:rowOff>
                  </to>
                </anchor>
              </controlPr>
            </control>
          </mc:Choice>
        </mc:AlternateContent>
        <mc:AlternateContent xmlns:mc="http://schemas.openxmlformats.org/markup-compatibility/2006">
          <mc:Choice Requires="x14">
            <control shapeId="7179" r:id="rId11" name="Drop Down 11">
              <controlPr defaultSize="0" autoLine="0" autoPict="0">
                <anchor moveWithCells="1">
                  <from>
                    <xdr:col>3</xdr:col>
                    <xdr:colOff>161925</xdr:colOff>
                    <xdr:row>67</xdr:row>
                    <xdr:rowOff>0</xdr:rowOff>
                  </from>
                  <to>
                    <xdr:col>5</xdr:col>
                    <xdr:colOff>838200</xdr:colOff>
                    <xdr:row>68</xdr:row>
                    <xdr:rowOff>0</xdr:rowOff>
                  </to>
                </anchor>
              </controlPr>
            </control>
          </mc:Choice>
        </mc:AlternateContent>
        <mc:AlternateContent xmlns:mc="http://schemas.openxmlformats.org/markup-compatibility/2006">
          <mc:Choice Requires="x14">
            <control shapeId="7180" r:id="rId12" name="Drop Down 12">
              <controlPr defaultSize="0" autoLine="0" autoPict="0">
                <anchor moveWithCells="1">
                  <from>
                    <xdr:col>2</xdr:col>
                    <xdr:colOff>0</xdr:colOff>
                    <xdr:row>71</xdr:row>
                    <xdr:rowOff>0</xdr:rowOff>
                  </from>
                  <to>
                    <xdr:col>5</xdr:col>
                    <xdr:colOff>0</xdr:colOff>
                    <xdr:row>72</xdr:row>
                    <xdr:rowOff>0</xdr:rowOff>
                  </to>
                </anchor>
              </controlPr>
            </control>
          </mc:Choice>
        </mc:AlternateContent>
        <mc:AlternateContent xmlns:mc="http://schemas.openxmlformats.org/markup-compatibility/2006">
          <mc:Choice Requires="x14">
            <control shapeId="7191" r:id="rId13" name="Drop Down 23">
              <controlPr defaultSize="0" autoLine="0" autoPict="0">
                <anchor moveWithCells="1">
                  <from>
                    <xdr:col>5</xdr:col>
                    <xdr:colOff>0</xdr:colOff>
                    <xdr:row>41</xdr:row>
                    <xdr:rowOff>9525</xdr:rowOff>
                  </from>
                  <to>
                    <xdr:col>5</xdr:col>
                    <xdr:colOff>828675</xdr:colOff>
                    <xdr:row>42</xdr:row>
                    <xdr:rowOff>0</xdr:rowOff>
                  </to>
                </anchor>
              </controlPr>
            </control>
          </mc:Choice>
        </mc:AlternateContent>
        <mc:AlternateContent xmlns:mc="http://schemas.openxmlformats.org/markup-compatibility/2006">
          <mc:Choice Requires="x14">
            <control shapeId="7192" r:id="rId14" name="Drop Down 24">
              <controlPr defaultSize="0" autoLine="0" autoPict="0">
                <anchor moveWithCells="1">
                  <from>
                    <xdr:col>2</xdr:col>
                    <xdr:colOff>0</xdr:colOff>
                    <xdr:row>55</xdr:row>
                    <xdr:rowOff>0</xdr:rowOff>
                  </from>
                  <to>
                    <xdr:col>5</xdr:col>
                    <xdr:colOff>0</xdr:colOff>
                    <xdr:row>56</xdr:row>
                    <xdr:rowOff>0</xdr:rowOff>
                  </to>
                </anchor>
              </controlPr>
            </control>
          </mc:Choice>
        </mc:AlternateContent>
        <mc:AlternateContent xmlns:mc="http://schemas.openxmlformats.org/markup-compatibility/2006">
          <mc:Choice Requires="x14">
            <control shapeId="7194" r:id="rId15" name="Drop Down 26">
              <controlPr defaultSize="0" autoLine="0" autoPict="0">
                <anchor moveWithCells="1">
                  <from>
                    <xdr:col>6</xdr:col>
                    <xdr:colOff>0</xdr:colOff>
                    <xdr:row>22</xdr:row>
                    <xdr:rowOff>0</xdr:rowOff>
                  </from>
                  <to>
                    <xdr:col>7</xdr:col>
                    <xdr:colOff>0</xdr:colOff>
                    <xdr:row>23</xdr:row>
                    <xdr:rowOff>0</xdr:rowOff>
                  </to>
                </anchor>
              </controlPr>
            </control>
          </mc:Choice>
        </mc:AlternateContent>
        <mc:AlternateContent xmlns:mc="http://schemas.openxmlformats.org/markup-compatibility/2006">
          <mc:Choice Requires="x14">
            <control shapeId="7200" r:id="rId16" name="Drop Down 32">
              <controlPr defaultSize="0" autoLine="0" autoPict="0">
                <anchor moveWithCells="1">
                  <from>
                    <xdr:col>4</xdr:col>
                    <xdr:colOff>161925</xdr:colOff>
                    <xdr:row>61</xdr:row>
                    <xdr:rowOff>0</xdr:rowOff>
                  </from>
                  <to>
                    <xdr:col>8</xdr:col>
                    <xdr:colOff>0</xdr:colOff>
                    <xdr:row>62</xdr:row>
                    <xdr:rowOff>0</xdr:rowOff>
                  </to>
                </anchor>
              </controlPr>
            </control>
          </mc:Choice>
        </mc:AlternateContent>
        <mc:AlternateContent xmlns:mc="http://schemas.openxmlformats.org/markup-compatibility/2006">
          <mc:Choice Requires="x14">
            <control shapeId="7201" r:id="rId17" name="Drop Down 33">
              <controlPr defaultSize="0" autoLine="0" autoPict="0">
                <anchor moveWithCells="1">
                  <from>
                    <xdr:col>9</xdr:col>
                    <xdr:colOff>581025</xdr:colOff>
                    <xdr:row>59</xdr:row>
                    <xdr:rowOff>0</xdr:rowOff>
                  </from>
                  <to>
                    <xdr:col>10</xdr:col>
                    <xdr:colOff>0</xdr:colOff>
                    <xdr:row>60</xdr:row>
                    <xdr:rowOff>0</xdr:rowOff>
                  </to>
                </anchor>
              </controlPr>
            </control>
          </mc:Choice>
        </mc:AlternateContent>
        <mc:AlternateContent xmlns:mc="http://schemas.openxmlformats.org/markup-compatibility/2006">
          <mc:Choice Requires="x14">
            <control shapeId="7202" r:id="rId18" name="Drop Down 34">
              <controlPr defaultSize="0" autoLine="0" autoPict="0">
                <anchor moveWithCells="1">
                  <from>
                    <xdr:col>6</xdr:col>
                    <xdr:colOff>314325</xdr:colOff>
                    <xdr:row>63</xdr:row>
                    <xdr:rowOff>0</xdr:rowOff>
                  </from>
                  <to>
                    <xdr:col>7</xdr:col>
                    <xdr:colOff>219075</xdr:colOff>
                    <xdr:row>64</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C2BB4EF9-656A-42D9-A8CC-83C3D83B945D}">
            <xm:f>Startmenue!$E$46&lt;TODAY()</xm:f>
            <x14:dxf>
              <font>
                <color auto="1"/>
              </font>
              <fill>
                <patternFill>
                  <bgColor theme="1"/>
                </patternFill>
              </fill>
              <border>
                <left/>
                <right/>
                <top/>
                <bottom/>
                <vertical/>
                <horizontal/>
              </border>
            </x14:dxf>
          </x14:cfRule>
          <xm:sqref>C3:J13 C65:J73 C64:G64 I64:J64 C50:J52 C49:F49 C54:J63 C53:E53 C36:J39 I35:J35 C35:E35 G35 C21:J34 C20 C40:G40 I40:J40 C18:J19 G17:J17 C14:H16 C41:J48</xm:sqref>
        </x14:conditionalFormatting>
        <x14:conditionalFormatting xmlns:xm="http://schemas.microsoft.com/office/excel/2006/main">
          <x14:cfRule type="expression" priority="5" id="{6860E43E-0961-4F5D-9BD2-E0645ED5F208}">
            <xm:f>Startmenue!$E$46&lt;TODAY()</xm:f>
            <x14:dxf>
              <font>
                <color auto="1"/>
              </font>
              <fill>
                <patternFill>
                  <bgColor theme="1"/>
                </patternFill>
              </fill>
              <border>
                <left/>
                <right/>
                <top/>
                <bottom/>
                <vertical/>
                <horizontal/>
              </border>
            </x14:dxf>
          </x14:cfRule>
          <xm:sqref>F53</xm:sqref>
        </x14:conditionalFormatting>
        <x14:conditionalFormatting xmlns:xm="http://schemas.microsoft.com/office/excel/2006/main">
          <x14:cfRule type="expression" priority="4" id="{D5CDAF9B-0BA9-493F-A4F4-0AFE6099C885}">
            <xm:f>Startmenue!$E$46&lt;TODAY()</xm:f>
            <x14:dxf>
              <font>
                <color auto="1"/>
              </font>
              <fill>
                <patternFill>
                  <bgColor theme="1"/>
                </patternFill>
              </fill>
              <border>
                <left/>
                <right/>
                <top/>
                <bottom/>
                <vertical/>
                <horizontal/>
              </border>
            </x14:dxf>
          </x14:cfRule>
          <xm:sqref>F35</xm:sqref>
        </x14:conditionalFormatting>
        <x14:conditionalFormatting xmlns:xm="http://schemas.microsoft.com/office/excel/2006/main">
          <x14:cfRule type="expression" priority="3" id="{1E370EF1-01F7-417A-B470-79C520696204}">
            <xm:f>Startmenue!$E$46&lt;TODAY()</xm:f>
            <x14:dxf>
              <font>
                <color theme="1"/>
              </font>
              <fill>
                <patternFill>
                  <bgColor theme="1"/>
                </patternFill>
              </fill>
              <border>
                <left/>
                <right/>
                <top/>
                <bottom/>
                <vertical/>
                <horizontal/>
              </border>
            </x14:dxf>
          </x14:cfRule>
          <xm:sqref>H40</xm:sqref>
        </x14:conditionalFormatting>
        <x14:conditionalFormatting xmlns:xm="http://schemas.microsoft.com/office/excel/2006/main">
          <x14:cfRule type="expression" priority="2" id="{47E90244-EE8F-45F6-A632-E0E44018A885}">
            <xm:f>Startmenue!$E$46&lt;TODAY()</xm:f>
            <x14:dxf>
              <font>
                <color auto="1"/>
              </font>
              <fill>
                <patternFill>
                  <bgColor theme="1"/>
                </patternFill>
              </fill>
              <border>
                <left/>
                <right/>
                <top/>
                <bottom/>
                <vertical/>
                <horizontal/>
              </border>
            </x14:dxf>
          </x14:cfRule>
          <xm:sqref>J16:K16</xm:sqref>
        </x14:conditionalFormatting>
        <x14:conditionalFormatting xmlns:xm="http://schemas.microsoft.com/office/excel/2006/main">
          <x14:cfRule type="expression" priority="1" id="{A8455B91-D566-4AA9-B786-32D88EA8F0AB}">
            <xm:f>COUNTIF(OFFSET(Gemarkungen!$C$12,VLOOKUP(H15,Gemarkungen!$O$13:$R$1130,3,FALSE),0,VLOOKUP(H15, Gemarkungen!$O$13:$R$1130,4,FALSE)-VLOOKUP(H15,Gemarkungen!$O$13:$R$1130,3,FALSE)+1,1),$H$16)&lt;&gt;1</xm:f>
            <x14:dxf>
              <font>
                <color rgb="FFFFFFCC"/>
              </font>
            </x14:dxf>
          </x14:cfRule>
          <xm:sqref>H16:I16</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Gemarkungen!$O$13:$O$1115</xm:f>
          </x14:formula1>
          <xm:sqref>H15</xm:sqref>
        </x14:dataValidation>
        <x14:dataValidation type="list" allowBlank="1" showInputMessage="1" showErrorMessage="1">
          <x14:formula1>
            <xm:f>OFFSET(Gemarkungen!$C$12,VLOOKUP(H15,Gemarkungen!$O$13:$R$1130,3,FALSE),0,VLOOKUP(H15, Gemarkungen!$O$13:$R$1130,4,FALSE)-VLOOKUP(H15,Gemarkungen!$O$13:$R$1130,3,FALSE)+1,1)</xm:f>
          </x14:formula1>
          <xm:sqref>H16:I16</xm:sqref>
        </x14:dataValidation>
        <x14:dataValidation type="decimal" operator="greaterThanOrEqual" allowBlank="1" showErrorMessage="1" errorTitle="Achtung!" error="Der Humusgehalt von Moorböden beträgt &gt;= 30%. Bitte korrigieren Sie Ihre Eingaben.">
          <x14:formula1>
            <xm:f>PKMg!C403</xm:f>
          </x14:formula1>
          <xm:sqref>E42</xm:sqref>
        </x14:dataValidation>
        <x14:dataValidation type="custom" errorStyle="information" allowBlank="1" showInputMessage="1" showErrorMessage="1" errorTitle="kein Mais" error="Eingabe hier nur möglich wenn Hauptkultur Mais ist. Bitte abbrechen">
          <x14:formula1>
            <xm:f>Kulturen!H231="Mais"</xm:f>
          </x14:formula1>
          <xm:sqref>F72</xm:sqref>
        </x14:dataValidation>
        <x14:dataValidation type="custom" errorStyle="information" allowBlank="1" showInputMessage="1" showErrorMessage="1" errorTitle="kein Mais" error="_x000a_Eingabe hier nur für Hauptkultur Mais möglich. Bitte Eingabe abbrechen">
          <x14:formula1>
            <xm:f>Kulturen!H231="Mais"</xm:f>
          </x14:formula1>
          <xm:sqref>H72</xm:sqref>
        </x14:dataValidation>
        <x14:dataValidation type="custom" errorStyle="information" allowBlank="1" showInputMessage="1" showErrorMessage="1" errorTitle="kein Mais" error="Eingabe hier nur für Hauptkultur Mais möglich. Bitte Eingabe abbrechen">
          <x14:formula1>
            <xm:f>Kulturen!H231="Mais"</xm:f>
          </x14:formula1>
          <xm:sqref>J72</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2:C16"/>
  <sheetViews>
    <sheetView topLeftCell="D1" workbookViewId="0">
      <selection activeCell="E11" sqref="E11"/>
    </sheetView>
  </sheetViews>
  <sheetFormatPr baseColWidth="10" defaultRowHeight="14.25" x14ac:dyDescent="0.2"/>
  <cols>
    <col min="1" max="1" width="12.5" hidden="1" customWidth="1"/>
    <col min="2" max="3" width="9.875" hidden="1" customWidth="1"/>
  </cols>
  <sheetData>
    <row r="2" spans="1:3" x14ac:dyDescent="0.2">
      <c r="A2" t="s">
        <v>3980</v>
      </c>
      <c r="B2" s="1821">
        <f>IFERROR(VLOOKUP(B3,A7:B16,2,FALSE),C2)</f>
        <v>43466</v>
      </c>
      <c r="C2" s="1821">
        <v>43466</v>
      </c>
    </row>
    <row r="3" spans="1:3" x14ac:dyDescent="0.2">
      <c r="A3" t="s">
        <v>4894</v>
      </c>
      <c r="B3">
        <f>Startmenue!E47</f>
        <v>0</v>
      </c>
    </row>
    <row r="6" spans="1:3" x14ac:dyDescent="0.2">
      <c r="A6" t="s">
        <v>4895</v>
      </c>
      <c r="B6" t="s">
        <v>4896</v>
      </c>
    </row>
    <row r="7" spans="1:3" x14ac:dyDescent="0.2">
      <c r="A7" s="1000">
        <v>5119</v>
      </c>
      <c r="B7" s="1821">
        <v>43101</v>
      </c>
      <c r="C7" s="1821"/>
    </row>
    <row r="8" spans="1:3" x14ac:dyDescent="0.2">
      <c r="A8" s="1000">
        <v>5627</v>
      </c>
      <c r="B8" s="1821">
        <v>43466</v>
      </c>
    </row>
    <row r="9" spans="1:3" x14ac:dyDescent="0.2">
      <c r="A9" s="1000">
        <v>4672</v>
      </c>
      <c r="B9" s="1821">
        <v>43831</v>
      </c>
    </row>
    <row r="10" spans="1:3" x14ac:dyDescent="0.2">
      <c r="A10" s="1000">
        <v>2467</v>
      </c>
      <c r="B10" s="1821">
        <v>44197</v>
      </c>
    </row>
    <row r="11" spans="1:3" x14ac:dyDescent="0.2">
      <c r="A11" s="1000">
        <v>3168</v>
      </c>
      <c r="B11" s="1821">
        <v>44562</v>
      </c>
    </row>
    <row r="12" spans="1:3" x14ac:dyDescent="0.2">
      <c r="A12" s="1000">
        <v>4967</v>
      </c>
      <c r="B12" s="1821">
        <v>44927</v>
      </c>
    </row>
    <row r="13" spans="1:3" x14ac:dyDescent="0.2">
      <c r="A13" s="1000">
        <v>1158</v>
      </c>
      <c r="B13" s="1821">
        <v>45292</v>
      </c>
    </row>
    <row r="14" spans="1:3" x14ac:dyDescent="0.2">
      <c r="A14" s="1000">
        <v>1146</v>
      </c>
      <c r="B14" s="1821">
        <v>45658</v>
      </c>
    </row>
    <row r="15" spans="1:3" x14ac:dyDescent="0.2">
      <c r="A15" s="1000">
        <v>9637</v>
      </c>
      <c r="B15" s="1821">
        <v>46023</v>
      </c>
    </row>
    <row r="16" spans="1:3" x14ac:dyDescent="0.2">
      <c r="A16" s="1000">
        <v>9258</v>
      </c>
      <c r="B16" s="1821">
        <v>46388</v>
      </c>
    </row>
  </sheetData>
  <sheetProtection password="8677" sheet="1" objects="1" scenarios="1"/>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3" tint="0.59999389629810485"/>
    <pageSetUpPr fitToPage="1"/>
  </sheetPr>
  <dimension ref="B1:T305"/>
  <sheetViews>
    <sheetView showGridLines="0" zoomScaleNormal="100" workbookViewId="0">
      <pane ySplit="15" topLeftCell="A16" activePane="bottomLeft" state="frozen"/>
      <selection activeCell="A10" sqref="A10"/>
      <selection pane="bottomLeft" activeCell="I23" sqref="I23"/>
    </sheetView>
  </sheetViews>
  <sheetFormatPr baseColWidth="10" defaultRowHeight="14.25" x14ac:dyDescent="0.2"/>
  <cols>
    <col min="1" max="1" width="0.375" customWidth="1"/>
    <col min="2" max="2" width="2.75" style="106" customWidth="1"/>
    <col min="5" max="5" width="14.125" customWidth="1"/>
    <col min="8" max="8" width="12.75" customWidth="1"/>
    <col min="10" max="10" width="11.5" customWidth="1"/>
    <col min="11" max="11" width="39.25" style="1744" customWidth="1"/>
    <col min="12" max="14" width="0" hidden="1" customWidth="1"/>
    <col min="15" max="15" width="15" hidden="1" customWidth="1"/>
    <col min="16" max="19" width="0" hidden="1" customWidth="1"/>
    <col min="20" max="20" width="46.875" hidden="1" customWidth="1"/>
    <col min="21" max="35" width="0" hidden="1" customWidth="1"/>
  </cols>
  <sheetData>
    <row r="1" spans="3:17" ht="3.4" customHeight="1" x14ac:dyDescent="0.2"/>
    <row r="2" spans="3:17" ht="30.6" customHeight="1" x14ac:dyDescent="0.25">
      <c r="C2" s="1733"/>
      <c r="D2" s="188"/>
      <c r="E2" s="188"/>
      <c r="F2" s="188"/>
      <c r="G2" s="188"/>
      <c r="H2" s="188"/>
      <c r="I2" s="188"/>
      <c r="J2" s="1737"/>
      <c r="K2" s="1745"/>
    </row>
    <row r="3" spans="3:17" ht="18" x14ac:dyDescent="0.25">
      <c r="C3" s="1738" t="str">
        <f>Startmenue!C2</f>
        <v>Düngung BW</v>
      </c>
      <c r="D3" s="1"/>
      <c r="E3" s="1"/>
      <c r="F3" s="1"/>
      <c r="G3" s="1"/>
      <c r="H3" s="1"/>
      <c r="I3" s="1"/>
      <c r="J3" s="1732" t="s">
        <v>1</v>
      </c>
      <c r="K3" s="1746"/>
      <c r="O3" s="4"/>
      <c r="P3" s="4"/>
      <c r="Q3" s="4"/>
    </row>
    <row r="4" spans="3:17" x14ac:dyDescent="0.2">
      <c r="C4" s="5" t="str">
        <f>AB_Eingabe!C4&amp;" "&amp;AB_Eingabe!J21</f>
        <v xml:space="preserve">Düngebedarfsberechnung Ackerbau </v>
      </c>
      <c r="D4" s="4"/>
      <c r="E4" s="4"/>
      <c r="F4" s="4" t="s">
        <v>3934</v>
      </c>
      <c r="G4" s="4"/>
      <c r="H4" s="4"/>
      <c r="I4" s="4"/>
      <c r="J4" s="1739">
        <f>AB_Eingabe!J4</f>
        <v>0</v>
      </c>
      <c r="K4" s="1746"/>
      <c r="O4" s="4"/>
      <c r="P4" s="4"/>
      <c r="Q4" s="4"/>
    </row>
    <row r="5" spans="3:17" ht="15" x14ac:dyDescent="0.25">
      <c r="C5" s="167" t="str">
        <f>Startmenue!C4</f>
        <v>(EXCEL-Anwendung, Stand: 06/03/2018)</v>
      </c>
      <c r="D5" s="3"/>
      <c r="E5" s="3"/>
      <c r="F5" s="3"/>
      <c r="G5" s="3"/>
      <c r="H5" s="3"/>
      <c r="I5" s="3"/>
      <c r="J5" s="1740" t="str">
        <f>Startmenue!G2</f>
        <v>Version 1.2</v>
      </c>
      <c r="K5" s="1746"/>
      <c r="O5" s="4"/>
      <c r="P5" s="4"/>
      <c r="Q5" s="4"/>
    </row>
    <row r="6" spans="3:17" ht="2.1" customHeight="1" x14ac:dyDescent="0.2">
      <c r="C6" s="5"/>
      <c r="D6" s="4"/>
      <c r="E6" s="4"/>
      <c r="F6" s="4"/>
      <c r="G6" s="4"/>
      <c r="H6" s="4"/>
      <c r="I6" s="4"/>
      <c r="J6" s="10"/>
      <c r="K6" s="1746"/>
      <c r="O6" s="4"/>
      <c r="P6" s="4"/>
      <c r="Q6" s="4"/>
    </row>
    <row r="7" spans="3:17" ht="2.1" customHeight="1" x14ac:dyDescent="0.2">
      <c r="C7" s="5"/>
      <c r="D7" s="4"/>
      <c r="E7" s="4"/>
      <c r="F7" s="4"/>
      <c r="G7" s="4"/>
      <c r="H7" s="4"/>
      <c r="I7" s="4"/>
      <c r="J7" s="10"/>
      <c r="K7" s="1746"/>
      <c r="O7" s="4"/>
      <c r="P7" s="4"/>
      <c r="Q7" s="4"/>
    </row>
    <row r="8" spans="3:17" ht="2.1" customHeight="1" x14ac:dyDescent="0.2">
      <c r="C8" s="5"/>
      <c r="D8" s="4"/>
      <c r="E8" s="4"/>
      <c r="F8" s="4"/>
      <c r="G8" s="4"/>
      <c r="H8" s="4"/>
      <c r="I8" s="4"/>
      <c r="J8" s="10"/>
      <c r="K8" s="1746"/>
      <c r="O8" s="4"/>
      <c r="P8" s="4"/>
      <c r="Q8" s="4"/>
    </row>
    <row r="9" spans="3:17" ht="0.75" customHeight="1" x14ac:dyDescent="0.2">
      <c r="C9" s="5"/>
      <c r="D9" s="4"/>
      <c r="E9" s="4"/>
      <c r="F9" s="4"/>
      <c r="G9" s="4"/>
      <c r="H9" s="4"/>
      <c r="I9" s="4"/>
      <c r="J9" s="10"/>
      <c r="K9" s="1746"/>
      <c r="O9" s="4"/>
      <c r="P9" s="4"/>
      <c r="Q9" s="4"/>
    </row>
    <row r="10" spans="3:17" ht="4.7" customHeight="1" x14ac:dyDescent="0.2">
      <c r="C10" s="167"/>
      <c r="D10" s="3"/>
      <c r="E10" s="3"/>
      <c r="F10" s="3"/>
      <c r="G10" s="3"/>
      <c r="H10" s="3"/>
      <c r="I10" s="3"/>
      <c r="J10" s="230"/>
      <c r="K10" s="1746"/>
      <c r="O10" s="4"/>
      <c r="P10" s="4"/>
      <c r="Q10" s="4"/>
    </row>
    <row r="11" spans="3:17" x14ac:dyDescent="0.2">
      <c r="C11" s="7" t="s">
        <v>3</v>
      </c>
      <c r="D11" s="9"/>
      <c r="E11" s="389">
        <f>AB_Eingabe!E12</f>
        <v>0</v>
      </c>
      <c r="F11" s="390"/>
      <c r="G11" s="338" t="s">
        <v>4</v>
      </c>
      <c r="H11" s="1894">
        <f>AB_Eingabe!H12</f>
        <v>0</v>
      </c>
      <c r="I11" s="1895"/>
      <c r="J11" s="1896"/>
      <c r="K11" s="1746"/>
      <c r="O11" s="4"/>
      <c r="P11" s="4"/>
      <c r="Q11" s="4"/>
    </row>
    <row r="12" spans="3:17" x14ac:dyDescent="0.2">
      <c r="C12" s="12" t="s">
        <v>5</v>
      </c>
      <c r="D12" s="1730"/>
      <c r="E12" s="1892">
        <f>AB_Eingabe!E13</f>
        <v>0</v>
      </c>
      <c r="F12" s="1893"/>
      <c r="G12" s="4"/>
      <c r="H12" s="1897"/>
      <c r="I12" s="1898"/>
      <c r="J12" s="1899"/>
      <c r="K12" s="1746"/>
      <c r="L12" t="s">
        <v>4787</v>
      </c>
      <c r="O12" s="4"/>
      <c r="P12" s="4"/>
      <c r="Q12" s="4"/>
    </row>
    <row r="13" spans="3:17" x14ac:dyDescent="0.2">
      <c r="C13" s="12" t="s">
        <v>7</v>
      </c>
      <c r="D13" s="1730"/>
      <c r="E13" s="1892">
        <f>AB_Eingabe!E14</f>
        <v>0</v>
      </c>
      <c r="F13" s="1893"/>
      <c r="G13" s="17" t="s">
        <v>6</v>
      </c>
      <c r="H13" s="160"/>
      <c r="I13" s="1892">
        <f>AB_Eingabe!I14</f>
        <v>0</v>
      </c>
      <c r="J13" s="1893"/>
      <c r="K13" s="1746"/>
      <c r="O13" s="4"/>
      <c r="P13" s="4"/>
      <c r="Q13" s="4"/>
    </row>
    <row r="14" spans="3:17" x14ac:dyDescent="0.2">
      <c r="C14" s="12" t="s">
        <v>9</v>
      </c>
      <c r="D14" s="1730"/>
      <c r="E14" s="1731">
        <f>AB_Eingabe!E15</f>
        <v>0</v>
      </c>
      <c r="F14" s="392"/>
      <c r="G14" s="4" t="s">
        <v>4301</v>
      </c>
      <c r="H14" s="160"/>
      <c r="I14" s="1906">
        <f>AB_Eingabe!H16</f>
        <v>0</v>
      </c>
      <c r="J14" s="1907"/>
      <c r="K14" s="1746"/>
      <c r="O14" s="4"/>
      <c r="P14" s="4"/>
      <c r="Q14" s="4"/>
    </row>
    <row r="15" spans="3:17" x14ac:dyDescent="0.2">
      <c r="C15" s="12" t="s">
        <v>11</v>
      </c>
      <c r="D15" s="1730"/>
      <c r="E15" s="1012">
        <f>AB_Eingabe!E16</f>
        <v>0</v>
      </c>
      <c r="F15" s="392"/>
      <c r="G15" s="12" t="s">
        <v>4304</v>
      </c>
      <c r="H15" s="160"/>
      <c r="I15" s="1731" t="str">
        <f ca="1">AB_Eingabe!I17</f>
        <v>Gemeinde und Gemarkung auswählen!</v>
      </c>
      <c r="J15" s="393"/>
      <c r="K15" s="1746"/>
      <c r="O15" s="4"/>
      <c r="P15" s="4"/>
      <c r="Q15" s="4"/>
    </row>
    <row r="16" spans="3:17" ht="4.1500000000000004" customHeight="1" x14ac:dyDescent="0.2">
      <c r="C16" s="5"/>
      <c r="D16" s="4"/>
      <c r="E16" s="4"/>
      <c r="F16" s="4"/>
      <c r="G16" s="4"/>
      <c r="H16" s="4"/>
      <c r="I16" s="4"/>
      <c r="J16" s="10"/>
      <c r="K16" s="1746"/>
      <c r="O16" s="4"/>
      <c r="P16" s="4"/>
      <c r="Q16" s="4"/>
    </row>
    <row r="17" spans="2:17" ht="15" x14ac:dyDescent="0.25">
      <c r="C17" s="339" t="s">
        <v>28</v>
      </c>
      <c r="D17" s="332"/>
      <c r="E17" s="332"/>
      <c r="F17" s="341"/>
      <c r="G17" s="332"/>
      <c r="H17" s="332"/>
      <c r="I17" s="332"/>
      <c r="J17" s="333"/>
      <c r="K17" s="1746"/>
    </row>
    <row r="18" spans="2:17" ht="13.7" customHeight="1" x14ac:dyDescent="0.2">
      <c r="C18" s="5"/>
      <c r="D18" s="29"/>
      <c r="E18" s="4"/>
      <c r="F18" s="33"/>
      <c r="G18" s="33"/>
      <c r="H18" s="33"/>
      <c r="I18" s="351" t="s">
        <v>3587</v>
      </c>
      <c r="J18" s="342" t="s">
        <v>29</v>
      </c>
      <c r="K18" s="1746"/>
      <c r="O18" s="4"/>
      <c r="P18" s="4"/>
      <c r="Q18" s="4"/>
    </row>
    <row r="19" spans="2:17" x14ac:dyDescent="0.2">
      <c r="C19" s="5" t="s">
        <v>13</v>
      </c>
      <c r="D19" s="4"/>
      <c r="E19" s="4"/>
      <c r="F19" s="162" t="str">
        <f>Kulturen!H229</f>
        <v>auswählen !</v>
      </c>
      <c r="G19" s="33"/>
      <c r="H19" s="33"/>
      <c r="I19" s="351" t="s">
        <v>30</v>
      </c>
      <c r="J19" s="342" t="s">
        <v>30</v>
      </c>
      <c r="K19" s="1746"/>
      <c r="O19" s="4"/>
      <c r="Q19" s="4"/>
    </row>
    <row r="20" spans="2:17" x14ac:dyDescent="0.2">
      <c r="C20" s="1741" t="s">
        <v>31</v>
      </c>
      <c r="D20" s="188"/>
      <c r="E20" s="188"/>
      <c r="F20" s="1734">
        <f>Kulturen!H234</f>
        <v>0</v>
      </c>
      <c r="G20" s="1735"/>
      <c r="H20" s="1735"/>
      <c r="I20" s="352"/>
      <c r="J20" s="343"/>
      <c r="K20" s="1746"/>
      <c r="O20" s="4"/>
      <c r="P20" s="302"/>
      <c r="Q20" s="4"/>
    </row>
    <row r="21" spans="2:17" x14ac:dyDescent="0.2">
      <c r="C21" s="24" t="s">
        <v>4716</v>
      </c>
      <c r="D21" s="1"/>
      <c r="E21" s="1"/>
      <c r="F21" s="92" t="str">
        <f>IF(AND(OR(AB_Eingabe!M21=2,AB_Eingabe!M21=3,AB_Eingabe!M21=4,AB_Eingabe!M21=35,AB_Eingabe!M21=36,AB_Eingabe!M21=49,AB_Eingabe!M21=20),OR(AB_Eingabe!H16="",AB_Eingabe!H16=0)),"",ROUND(Kulturen!H329,0)&amp;" * "&amp;ROUND(Kulturen!H327,2)&amp;" + "&amp;Kulturen!H333)</f>
        <v>0 * 0 + 0</v>
      </c>
      <c r="G21" s="228"/>
      <c r="H21" s="228"/>
      <c r="I21" s="353" t="str">
        <f>IF(AND(OR(AB_Eingabe!M21=2,AB_Eingabe!M21=3,AB_Eingabe!M21=4,AB_Eingabe!M21=35,AB_Eingabe!M21=36,AB_Eingabe!M21=49,AB_Eingabe!M21=20),OR(AB_Eingabe!H16="",AB_Eingabe!H16=0)),"",IF(Kulturen!H227=1,"",ROUND((Kulturen!H330+Kulturen!H333),0)))</f>
        <v/>
      </c>
      <c r="J21" s="344"/>
      <c r="K21" s="1746"/>
      <c r="O21" s="4"/>
      <c r="Q21" s="4"/>
    </row>
    <row r="22" spans="2:17" x14ac:dyDescent="0.2">
      <c r="C22" s="35" t="s">
        <v>4264</v>
      </c>
      <c r="D22" s="4"/>
      <c r="E22" s="4"/>
      <c r="F22" s="1923" t="str">
        <f>IF(AND(OR(AB_Eingabe!M21=2,AB_Eingabe!M21=3,AB_Eingabe!M21=4,AB_Eingabe!M21=35,AB_Eingabe!M21=36,AB_Eingabe!M21=49,AB_Eingabe!M21=20),OR(AB_Eingabe!H16="",AB_Eingabe!H16=0)),HYPERLINK("#AB_Eingabe!I15","&gt;&gt;&gt; Bitte Gemarkungsnummer eintragen!"),"")</f>
        <v/>
      </c>
      <c r="G22" s="1924"/>
      <c r="H22" s="1925"/>
      <c r="I22" s="354"/>
      <c r="J22" s="367"/>
      <c r="K22" s="1746"/>
      <c r="O22" s="4"/>
      <c r="Q22" s="4"/>
    </row>
    <row r="23" spans="2:17" x14ac:dyDescent="0.2">
      <c r="C23" s="24" t="s">
        <v>4717</v>
      </c>
      <c r="D23" s="1"/>
      <c r="E23" s="1"/>
      <c r="F23" s="92" t="str">
        <f>IFERROR(Kulturen!H308&amp;" (bei "&amp;Kulturen!H232&amp;" dt/ha) + ("&amp;(Kulturen!H248)&amp;") (Korrektur)","")</f>
        <v>0 (bei 0 dt/ha) + (0) (Korrektur)</v>
      </c>
      <c r="G23" s="228"/>
      <c r="H23" s="228"/>
      <c r="I23" s="355"/>
      <c r="J23" s="345" t="str">
        <f>IFERROR(IF(Kulturen!H228=0,"",ROUND(Kulturen!H309,0)),"")</f>
        <v/>
      </c>
      <c r="K23" s="1746"/>
      <c r="O23" s="4"/>
      <c r="Q23" s="4"/>
    </row>
    <row r="24" spans="2:17" x14ac:dyDescent="0.2">
      <c r="C24" s="231" t="s">
        <v>4577</v>
      </c>
      <c r="D24" s="3"/>
      <c r="E24" s="3"/>
      <c r="F24" s="168"/>
      <c r="G24" s="229"/>
      <c r="H24" s="229"/>
      <c r="I24" s="356"/>
      <c r="J24" s="346"/>
      <c r="K24" s="1746"/>
      <c r="O24" s="4"/>
      <c r="Q24" s="4"/>
    </row>
    <row r="25" spans="2:17" s="59" customFormat="1" ht="13.7" customHeight="1" x14ac:dyDescent="0.2">
      <c r="B25" s="221"/>
      <c r="C25" s="232" t="s">
        <v>4718</v>
      </c>
      <c r="D25" s="70"/>
      <c r="E25" s="70"/>
      <c r="F25" s="233"/>
      <c r="G25" s="234"/>
      <c r="H25" s="234"/>
      <c r="I25" s="357" t="str">
        <f>IF(Kulturen!H227=1,"",ROUND(Kulturen!$H$399,0))</f>
        <v/>
      </c>
      <c r="J25" s="366" t="str">
        <f>IF(Kulturen!H228=0,"",ROUND(Kulturen!$H$305*-1,0))</f>
        <v/>
      </c>
      <c r="K25" s="1747"/>
      <c r="L25"/>
      <c r="M25"/>
      <c r="N25"/>
      <c r="O25" s="58"/>
      <c r="Q25" s="58"/>
    </row>
    <row r="26" spans="2:17" ht="13.7" customHeight="1" x14ac:dyDescent="0.2">
      <c r="C26" s="24" t="s">
        <v>4255</v>
      </c>
      <c r="D26" s="1"/>
      <c r="E26" s="1"/>
      <c r="F26" s="1908" t="str">
        <f>Kulturen!H384&amp;", "&amp;Bodenarten!C23</f>
        <v>40 - 60, sandiger bis schluffiger Lehm, sL - uL</v>
      </c>
      <c r="G26" s="1909"/>
      <c r="H26" s="1910"/>
      <c r="I26" s="358"/>
      <c r="J26" s="347"/>
      <c r="K26" s="1746"/>
      <c r="O26" s="4"/>
      <c r="Q26" s="4"/>
    </row>
    <row r="27" spans="2:17" x14ac:dyDescent="0.2">
      <c r="C27" s="5"/>
      <c r="D27" s="49"/>
      <c r="E27" s="235" t="s">
        <v>4256</v>
      </c>
      <c r="F27" s="1911"/>
      <c r="G27" s="1912"/>
      <c r="H27" s="1913"/>
      <c r="I27" s="359" t="str">
        <f>IF(Kulturen!H227=1,"",ROUND(Kulturen!H387*-1,0))</f>
        <v/>
      </c>
      <c r="J27" s="348"/>
      <c r="K27" s="1746"/>
      <c r="O27" s="4"/>
      <c r="Q27" s="4"/>
    </row>
    <row r="28" spans="2:17" x14ac:dyDescent="0.2">
      <c r="C28" s="7"/>
      <c r="D28" s="55"/>
      <c r="E28" s="173" t="s">
        <v>4257</v>
      </c>
      <c r="F28" s="93" t="str">
        <f>AB_Eingabe!E42*100&amp;" %"</f>
        <v>0 %</v>
      </c>
      <c r="G28" s="226"/>
      <c r="H28" s="226"/>
      <c r="I28" s="360"/>
      <c r="J28" s="367" t="str">
        <f>IF(Kulturen!H228=0,"",ROUND(Kulturen!H289,0))</f>
        <v/>
      </c>
      <c r="K28" s="1746"/>
      <c r="O28" s="4"/>
      <c r="Q28" s="4"/>
    </row>
    <row r="29" spans="2:17" x14ac:dyDescent="0.2">
      <c r="C29" s="5" t="s">
        <v>3953</v>
      </c>
      <c r="D29" s="4"/>
      <c r="E29" s="4"/>
      <c r="F29" s="1914" t="str">
        <f>Kulturen!$H$266</f>
        <v>keine organ./organ.-mineral. Düngung</v>
      </c>
      <c r="G29" s="1915"/>
      <c r="H29" s="1916"/>
      <c r="I29" s="361" t="str">
        <f>IF(Kulturen!H227=1,"",ROUND(Kulturen!$H$360*-1,0))</f>
        <v/>
      </c>
      <c r="J29" s="345" t="str">
        <f>IF(Kulturen!H228=0,"",ROUND(Kulturen!$H$270*-1,0))</f>
        <v/>
      </c>
      <c r="K29" s="1746"/>
      <c r="O29" s="4"/>
      <c r="Q29" s="4"/>
    </row>
    <row r="30" spans="2:17" x14ac:dyDescent="0.2">
      <c r="C30" s="35" t="s">
        <v>4542</v>
      </c>
      <c r="D30" s="4"/>
      <c r="E30" s="4"/>
      <c r="F30" s="94" t="str">
        <f>IF(I29=0,"","("&amp;Kulturen!$H$267&amp;" "&amp;Kulturen!$I$267&amp;" * "&amp;Kulturen!$H$268&amp;" "&amp;Kulturen!$I$268&amp;" "&amp;" * "&amp;Kulturen!$H$269&amp;")")</f>
        <v>(0 0 * 0 0  * 0)</v>
      </c>
      <c r="G30" s="227"/>
      <c r="H30" s="227"/>
      <c r="I30" s="354"/>
      <c r="J30" s="345"/>
      <c r="K30" s="1746"/>
      <c r="O30" s="4"/>
      <c r="Q30" s="4"/>
    </row>
    <row r="31" spans="2:17" x14ac:dyDescent="0.2">
      <c r="C31" s="35"/>
      <c r="D31" s="4"/>
      <c r="E31" s="4"/>
      <c r="F31" s="1917" t="str">
        <f>Kulturen!$H$365</f>
        <v>keine organ./organ.-mineral. Düngung</v>
      </c>
      <c r="G31" s="1918"/>
      <c r="H31" s="1919"/>
      <c r="I31" s="362" t="str">
        <f>IF(Kulturen!H227=1,"",ROUND(Kulturen!$H$370,0))</f>
        <v/>
      </c>
      <c r="J31" s="345" t="str">
        <f>IF(Kulturen!H228=0,"",ROUND(Kulturen!H277,0))</f>
        <v/>
      </c>
      <c r="K31" s="1746"/>
      <c r="O31" s="4"/>
      <c r="Q31" s="4"/>
    </row>
    <row r="32" spans="2:17" x14ac:dyDescent="0.2">
      <c r="C32" s="35"/>
      <c r="D32" s="4"/>
      <c r="E32" s="4"/>
      <c r="F32" s="94" t="str">
        <f>IF(I31=0,"","("&amp;Kulturen!$H$273&amp;" "&amp;Kulturen!$I$273&amp;" * "&amp;Kulturen!$H$274&amp;" "&amp;Kulturen!$I$274&amp;" "&amp;" * "&amp;Kulturen!$H$276&amp;")")</f>
        <v>(0 0 * 0 0  * 0)</v>
      </c>
      <c r="G32" s="227"/>
      <c r="H32" s="227"/>
      <c r="I32" s="354"/>
      <c r="J32" s="345"/>
      <c r="K32" s="1746"/>
      <c r="O32" s="4"/>
      <c r="Q32" s="4"/>
    </row>
    <row r="33" spans="2:17" x14ac:dyDescent="0.2">
      <c r="B33" s="1521"/>
      <c r="C33" s="5" t="s">
        <v>4543</v>
      </c>
      <c r="D33" s="4"/>
      <c r="E33" s="4"/>
      <c r="F33" s="66" t="str">
        <f>Kulturen!$H$372</f>
        <v>keine Düngung mit Kompost</v>
      </c>
      <c r="G33" s="227"/>
      <c r="H33" s="227"/>
      <c r="I33" s="1684">
        <f>IF(Kulturen!$H$227=1,0,ROUND(Kulturen!$H$377,0))</f>
        <v>0</v>
      </c>
      <c r="J33" s="345" t="str">
        <f>IF(Kulturen!H228=0,"",ROUND(Kulturen!H284,0))</f>
        <v/>
      </c>
      <c r="K33" s="1746"/>
      <c r="O33" s="4"/>
      <c r="Q33" s="4"/>
    </row>
    <row r="34" spans="2:17" x14ac:dyDescent="0.2">
      <c r="B34" s="1521"/>
      <c r="C34" s="35" t="s">
        <v>4544</v>
      </c>
      <c r="D34" s="4"/>
      <c r="E34" s="4"/>
      <c r="F34" s="94" t="str">
        <f>IF(I33=0,"","("&amp;Kulturen!$H$280&amp;" "&amp;Kulturen!$I$280&amp;" * "&amp;Kulturen!$H$281&amp;" "&amp;Kulturen!$I$281&amp;" "&amp;" * "&amp;ROUND(Kulturen!$H$283,2)&amp;")")</f>
        <v/>
      </c>
      <c r="G34" s="227"/>
      <c r="H34" s="227"/>
      <c r="I34" s="362"/>
      <c r="J34" s="345"/>
      <c r="K34" s="1746"/>
      <c r="O34" s="4"/>
      <c r="Q34" s="4"/>
    </row>
    <row r="35" spans="2:17" x14ac:dyDescent="0.2">
      <c r="B35" s="1521"/>
      <c r="C35" s="35" t="str">
        <f>"im Ø, bezogen auf: " &amp;AB_Eingabe!H54 &amp; " bis " &amp;AB_Eingabe!F54 &amp; ")"</f>
        <v>im Ø, bezogen auf:  bis )</v>
      </c>
      <c r="D35" s="88"/>
      <c r="E35" s="4"/>
      <c r="F35" s="94"/>
      <c r="G35" s="227"/>
      <c r="H35" s="227"/>
      <c r="I35" s="354"/>
      <c r="J35" s="345"/>
      <c r="K35" s="1746"/>
      <c r="O35" s="4"/>
      <c r="Q35" s="4"/>
    </row>
    <row r="36" spans="2:17" x14ac:dyDescent="0.2">
      <c r="B36" s="1521"/>
      <c r="C36" s="12" t="s">
        <v>4258</v>
      </c>
      <c r="D36" s="1729"/>
      <c r="E36" s="1729"/>
      <c r="F36" s="1920" t="str">
        <f>Kulturen!$H$335&amp;", "&amp;Kulturen!$H$337</f>
        <v>Sonstige Vorfrucht, Ja</v>
      </c>
      <c r="G36" s="1921"/>
      <c r="H36" s="1922"/>
      <c r="I36" s="363" t="str">
        <f>IF(Kulturen!H227=1,"",ROUND(Kulturen!H339*-1,0))</f>
        <v/>
      </c>
      <c r="J36" s="368" t="str">
        <f>IF(Kulturen!H228=0,"",ROUND(Kulturen!H252*-1,0))</f>
        <v/>
      </c>
      <c r="K36" s="1746"/>
      <c r="O36" s="4"/>
      <c r="Q36" s="4"/>
    </row>
    <row r="37" spans="2:17" x14ac:dyDescent="0.2">
      <c r="B37" s="1521"/>
      <c r="C37" s="24" t="s">
        <v>4168</v>
      </c>
      <c r="D37" s="1"/>
      <c r="E37" s="1"/>
      <c r="F37" s="1900" t="str">
        <f>Zwfru!E35</f>
        <v>Keine Zwischenfrucht vorhanden</v>
      </c>
      <c r="G37" s="1901"/>
      <c r="H37" s="1902"/>
      <c r="I37" s="364" t="str">
        <f>IF(Kulturen!H227=1,"",ROUND(Kulturen!H344*-1,0))</f>
        <v/>
      </c>
      <c r="J37" s="345" t="str">
        <f>IF(Kulturen!H228=0,"",ROUND(Kulturen!H258*-1,0))</f>
        <v/>
      </c>
      <c r="K37" s="1746"/>
      <c r="O37" s="4"/>
      <c r="Q37" s="4"/>
    </row>
    <row r="38" spans="2:17" ht="12" customHeight="1" x14ac:dyDescent="0.2">
      <c r="B38" s="1521"/>
      <c r="C38" s="1702" t="str">
        <f>IF(Kulturen!H350="Nein","ohne ","mit ")&amp;"Düngung (org. und/oder min. n. Ernte d. Vorfrucht)"</f>
        <v>ohne Düngung (org. und/oder min. n. Ernte d. Vorfrucht)</v>
      </c>
      <c r="D38" s="4"/>
      <c r="E38" s="4"/>
      <c r="F38" s="1903"/>
      <c r="G38" s="1904"/>
      <c r="H38" s="1905"/>
      <c r="I38" s="354"/>
      <c r="J38" s="345"/>
      <c r="K38" s="1746"/>
      <c r="O38" s="4"/>
      <c r="Q38" s="4"/>
    </row>
    <row r="39" spans="2:17" x14ac:dyDescent="0.2">
      <c r="B39" s="1521"/>
      <c r="C39" s="1701" t="str">
        <f>IF(OR(Kommentarliste!G43=1,Kommentarliste!G44=1),"Abschlag (b) begrenzt, wenn (a) + (b)  &gt; 40 kg N/ha","")</f>
        <v/>
      </c>
      <c r="D39" s="3"/>
      <c r="E39" s="3"/>
      <c r="F39" s="168"/>
      <c r="G39" s="229"/>
      <c r="H39" s="229"/>
      <c r="I39" s="365"/>
      <c r="J39" s="349"/>
      <c r="K39" s="1746"/>
      <c r="O39" s="4"/>
      <c r="Q39" s="4"/>
    </row>
    <row r="40" spans="2:17" x14ac:dyDescent="0.2">
      <c r="B40" s="1521"/>
      <c r="C40" s="1741" t="str">
        <f>IF(Kulturen!H231="Mais","Düngeempfehlung zu","")</f>
        <v/>
      </c>
      <c r="D40" s="48"/>
      <c r="E40" s="29"/>
      <c r="F40" s="1549" t="str">
        <f>IF(Kulturen!H231="Mais",Kulturen!H382,"")</f>
        <v/>
      </c>
      <c r="G40" s="49"/>
      <c r="H40" s="49"/>
      <c r="I40" s="69"/>
      <c r="J40" s="350"/>
      <c r="K40" s="1746"/>
      <c r="N40" s="4"/>
      <c r="O40" s="4"/>
      <c r="P40" s="4"/>
      <c r="Q40" s="4"/>
    </row>
    <row r="41" spans="2:17" ht="15" x14ac:dyDescent="0.25">
      <c r="B41" s="1521"/>
      <c r="C41" s="67"/>
      <c r="D41" s="68"/>
      <c r="E41" s="69"/>
      <c r="F41" s="69"/>
      <c r="G41" s="69"/>
      <c r="H41" s="108" t="str">
        <f>IF(Kulturen!$H$228=1,"N-Düngeempfehlung","N-Düngebedarf")</f>
        <v>N-Düngebedarf</v>
      </c>
      <c r="I41" s="105" t="str">
        <f>IF(AND(OR(AB_Eingabe!M21=2,AB_Eingabe!M21=3,AB_Eingabe!M21=4,AB_Eingabe!M21=35,AB_Eingabe!M21=36,AB_Eingabe!M21=49,AB_Eingabe!M21=20),OR(AB_Eingabe!H16="",AB_Eingabe!H16=0)),"",IF(Kulturen!H227=1,"",Kulturen!H409))</f>
        <v/>
      </c>
      <c r="J41" s="350"/>
      <c r="K41" s="1746"/>
      <c r="P41" s="4"/>
    </row>
    <row r="42" spans="2:17" ht="15" x14ac:dyDescent="0.25">
      <c r="B42" s="1521"/>
      <c r="C42" s="43"/>
      <c r="D42" s="44"/>
      <c r="E42" s="45"/>
      <c r="F42" s="45"/>
      <c r="G42" s="45"/>
      <c r="H42" s="109" t="s">
        <v>4576</v>
      </c>
      <c r="I42" s="46"/>
      <c r="J42" s="176" t="str">
        <f>IF(ISERROR(Kulturen!H308),"",IFERROR(IF(Kulturen!I324&gt;1,"",Kulturen!H406),""))</f>
        <v/>
      </c>
      <c r="K42" s="1746"/>
      <c r="P42" s="4"/>
    </row>
    <row r="43" spans="2:17" x14ac:dyDescent="0.2">
      <c r="C43" s="47"/>
      <c r="D43" s="48"/>
      <c r="E43" s="49"/>
      <c r="F43" s="49"/>
      <c r="G43" s="49"/>
      <c r="H43" s="49"/>
      <c r="I43" s="49"/>
      <c r="J43" s="50"/>
      <c r="K43" s="1746"/>
    </row>
    <row r="44" spans="2:17" x14ac:dyDescent="0.2">
      <c r="C44" s="53"/>
      <c r="D44" s="54"/>
      <c r="E44" s="55"/>
      <c r="F44" s="55"/>
      <c r="G44" s="55"/>
      <c r="H44" s="55"/>
      <c r="I44" s="55"/>
      <c r="J44" s="260" t="str">
        <f>IF(Kulturen!H227=1,"",IF(Kulturen!I324&gt;0,Kommentarliste!J14,Kommentarliste!J12))</f>
        <v/>
      </c>
      <c r="K44" s="1748" t="str">
        <f>IF(Kommentarliste!R52=0,"",HYPERLINK("#AB_Kommentare!A1","&gt;&gt;&gt; Bitte Kommentare zum Ergebnis einsehen!"))</f>
        <v>&gt;&gt;&gt; Bitte Kommentare zum Ergebnis einsehen!</v>
      </c>
    </row>
    <row r="45" spans="2:17" x14ac:dyDescent="0.2">
      <c r="B45" s="142"/>
      <c r="C45" s="47" t="s">
        <v>4720</v>
      </c>
      <c r="D45" s="48"/>
      <c r="E45" s="49"/>
      <c r="F45" s="49"/>
      <c r="G45" s="49"/>
      <c r="H45" s="49"/>
      <c r="I45" s="49"/>
      <c r="J45" s="619"/>
      <c r="K45" s="1746"/>
    </row>
    <row r="46" spans="2:17" x14ac:dyDescent="0.2">
      <c r="B46" s="142"/>
      <c r="C46" s="24" t="s">
        <v>4261</v>
      </c>
      <c r="D46" s="1"/>
      <c r="E46" s="1"/>
      <c r="F46" s="92"/>
      <c r="G46" s="228"/>
      <c r="H46" s="236"/>
      <c r="I46" s="355"/>
      <c r="J46" s="372"/>
      <c r="K46" s="1746"/>
      <c r="M46" s="4"/>
      <c r="N46" s="4"/>
      <c r="O46" s="4"/>
      <c r="Q46" s="4"/>
    </row>
    <row r="47" spans="2:17" ht="13.7" customHeight="1" x14ac:dyDescent="0.2">
      <c r="B47" s="142"/>
      <c r="C47" s="5" t="s">
        <v>3954</v>
      </c>
      <c r="D47" s="4"/>
      <c r="E47" s="4"/>
      <c r="F47" s="66" t="str">
        <f>IF(Kulturen!H231="Mais",Kulturen!$H$292,"")</f>
        <v/>
      </c>
      <c r="G47" s="227"/>
      <c r="H47" s="227"/>
      <c r="I47" s="361" t="str">
        <f>IF(Kulturen!H227=1,"",IF(Kulturen!H231="Mais",ROUND(Kulturen!H393*-1,0),0))</f>
        <v/>
      </c>
      <c r="J47" s="370" t="str">
        <f>IF(Kulturen!H228=0,"",IF(Kulturen!H231="Mais",ROUND(Kulturen!H297*-1,0),0))</f>
        <v/>
      </c>
      <c r="K47" s="1746"/>
      <c r="M47" s="4"/>
      <c r="N47" s="4"/>
      <c r="O47" s="4"/>
      <c r="Q47" s="4"/>
    </row>
    <row r="48" spans="2:17" x14ac:dyDescent="0.2">
      <c r="B48" s="142"/>
      <c r="C48" s="35" t="s">
        <v>4265</v>
      </c>
      <c r="D48" s="4"/>
      <c r="E48" s="4"/>
      <c r="F48" s="94" t="str">
        <f>IF(I47=0,"",IF(Kulturen!H231="Mais","( "&amp;Kulturen!H293&amp;" "&amp;Kulturen!I293&amp; " * "&amp;Kulturen!H294&amp;" "&amp;Kulturen!I294&amp;" * "&amp;Kulturen!H296&amp;"%"&amp;" )",""))</f>
        <v/>
      </c>
      <c r="G48" s="227"/>
      <c r="H48" s="227"/>
      <c r="I48" s="354"/>
      <c r="J48" s="345"/>
      <c r="K48" s="1746"/>
      <c r="M48" s="4"/>
      <c r="N48" s="4"/>
      <c r="O48" s="4"/>
      <c r="Q48" s="4"/>
    </row>
    <row r="49" spans="2:17" x14ac:dyDescent="0.2">
      <c r="B49" s="142"/>
      <c r="C49" s="167" t="s">
        <v>4260</v>
      </c>
      <c r="D49" s="3"/>
      <c r="E49" s="3"/>
      <c r="F49" s="168" t="str">
        <f>IF(Kulturen!H231="Mais",IF(Kulturen!H302&gt;0,Kulturen!H302&amp;" "&amp;Kulturen!I302,""),"")</f>
        <v/>
      </c>
      <c r="G49" s="229"/>
      <c r="H49" s="229"/>
      <c r="I49" s="1736" t="str">
        <f>IF(Kulturen!H227=1,"",IF(Kulturen!H231="Mais",ROUND(Kulturen!$H$394*-1,0),0))</f>
        <v/>
      </c>
      <c r="J49" s="1742" t="str">
        <f>IF(Kulturen!H228=0,"",IF(Kulturen!H231="Mais",ROUND(Kulturen!$H$302*-1,0),0))</f>
        <v/>
      </c>
      <c r="K49" s="1746"/>
      <c r="M49" s="4"/>
      <c r="N49" s="4"/>
      <c r="O49" s="4"/>
      <c r="Q49" s="4"/>
    </row>
    <row r="50" spans="2:17" x14ac:dyDescent="0.2">
      <c r="B50" s="142"/>
      <c r="C50" s="5"/>
      <c r="D50" s="4"/>
      <c r="E50" s="4"/>
      <c r="F50" s="110"/>
      <c r="G50" s="227"/>
      <c r="H50" s="227"/>
      <c r="I50" s="373" t="s">
        <v>4262</v>
      </c>
      <c r="J50" s="371"/>
      <c r="K50" s="1746"/>
      <c r="M50" s="4"/>
      <c r="N50" s="4"/>
      <c r="O50" s="4"/>
      <c r="Q50" s="4"/>
    </row>
    <row r="51" spans="2:17" ht="15" x14ac:dyDescent="0.25">
      <c r="B51" s="142"/>
      <c r="C51" s="67"/>
      <c r="D51" s="68"/>
      <c r="E51" s="69"/>
      <c r="F51" s="69"/>
      <c r="G51" s="69"/>
      <c r="H51" s="108" t="str">
        <f>IF(Kulturen!$H$228=1,"N-Düngeempfehlung","N-Düngebedarf (DüV)")</f>
        <v>N-Düngebedarf (DüV)</v>
      </c>
      <c r="I51" s="105" t="str">
        <f>IF(Kulturen!H227=1,"",IF((I41+I47+I49)&lt;0,0,I41+I47+I49))</f>
        <v/>
      </c>
      <c r="J51" s="350"/>
      <c r="K51" s="1746"/>
      <c r="O51" s="4"/>
      <c r="P51" s="4"/>
    </row>
    <row r="52" spans="2:17" ht="15" x14ac:dyDescent="0.25">
      <c r="B52" s="142"/>
      <c r="C52" s="43"/>
      <c r="D52" s="44"/>
      <c r="E52" s="45"/>
      <c r="F52" s="45"/>
      <c r="G52" s="45"/>
      <c r="H52" s="109" t="s">
        <v>33</v>
      </c>
      <c r="I52" s="46"/>
      <c r="J52" s="176" t="str">
        <f>IF(ISERROR(IF(Kulturen!I324&gt;1,"",IF((J42+J47+J49)&lt;0,0,J42+J47+J49))),"",(IF(Kulturen!I324&gt;1,"",IF((J42+J47+J49)&lt;0,0,J42+J47+J49))))</f>
        <v/>
      </c>
      <c r="K52" s="1746"/>
      <c r="O52" s="4"/>
      <c r="P52" s="4"/>
    </row>
    <row r="53" spans="2:17" ht="15" x14ac:dyDescent="0.25">
      <c r="B53" s="142"/>
      <c r="C53" s="626"/>
      <c r="D53" s="620"/>
      <c r="E53" s="33"/>
      <c r="F53" s="33"/>
      <c r="G53" s="33"/>
      <c r="H53" s="183"/>
      <c r="I53" s="15"/>
      <c r="J53" s="621"/>
      <c r="K53" s="1746"/>
      <c r="O53" s="4"/>
      <c r="P53" s="4"/>
    </row>
    <row r="54" spans="2:17" x14ac:dyDescent="0.2">
      <c r="B54" s="417"/>
      <c r="C54" s="62"/>
      <c r="D54" s="1743"/>
      <c r="E54" s="63"/>
      <c r="F54" s="63"/>
      <c r="G54" s="63"/>
      <c r="H54" s="63"/>
      <c r="I54" s="63"/>
      <c r="J54" s="923"/>
      <c r="K54" s="1746"/>
      <c r="M54" s="4"/>
      <c r="N54" s="4"/>
      <c r="O54" s="4"/>
      <c r="P54" s="4"/>
      <c r="Q54" s="4"/>
    </row>
    <row r="55" spans="2:17" ht="15" x14ac:dyDescent="0.25">
      <c r="C55" s="339" t="s">
        <v>34</v>
      </c>
      <c r="D55" s="332"/>
      <c r="E55" s="340"/>
      <c r="F55" s="341"/>
      <c r="G55" s="332"/>
      <c r="H55" s="332"/>
      <c r="I55" s="332"/>
      <c r="J55" s="333"/>
      <c r="K55" s="1746"/>
      <c r="M55" s="4"/>
      <c r="N55" s="4"/>
      <c r="O55" s="4"/>
      <c r="P55" s="4"/>
      <c r="Q55" s="4"/>
    </row>
    <row r="56" spans="2:17" s="59" customFormat="1" ht="13.7" customHeight="1" x14ac:dyDescent="0.2">
      <c r="B56" s="221"/>
      <c r="C56" s="57"/>
      <c r="D56" s="58"/>
      <c r="E56" s="58"/>
      <c r="F56" s="1888" t="str">
        <f>Kulturen!H229</f>
        <v>auswählen !</v>
      </c>
      <c r="G56" s="1889"/>
      <c r="H56" s="457" t="s">
        <v>3944</v>
      </c>
      <c r="I56" s="458" t="s">
        <v>3945</v>
      </c>
      <c r="J56" s="459" t="s">
        <v>25</v>
      </c>
      <c r="K56" s="1746"/>
      <c r="L56"/>
      <c r="M56" s="58"/>
      <c r="N56" s="58"/>
      <c r="O56" s="58"/>
      <c r="P56" s="58"/>
      <c r="Q56" s="58"/>
    </row>
    <row r="57" spans="2:17" x14ac:dyDescent="0.2">
      <c r="C57" s="279" t="s">
        <v>13</v>
      </c>
      <c r="D57" s="214"/>
      <c r="E57" s="280"/>
      <c r="F57" s="1890"/>
      <c r="G57" s="1891"/>
      <c r="H57" s="374" t="s">
        <v>37</v>
      </c>
      <c r="I57" s="377" t="s">
        <v>37</v>
      </c>
      <c r="J57" s="378" t="s">
        <v>37</v>
      </c>
      <c r="K57" s="1746"/>
      <c r="M57" s="4"/>
      <c r="N57" s="4"/>
      <c r="O57" s="4"/>
      <c r="P57" s="4"/>
      <c r="Q57" s="4"/>
    </row>
    <row r="58" spans="2:17" x14ac:dyDescent="0.2">
      <c r="C58" s="53" t="s">
        <v>31</v>
      </c>
      <c r="D58" s="8"/>
      <c r="E58" s="55"/>
      <c r="F58" s="278">
        <f>Kulturen!H234</f>
        <v>0</v>
      </c>
      <c r="G58" s="56"/>
      <c r="H58" s="375"/>
      <c r="I58" s="379"/>
      <c r="J58" s="380"/>
      <c r="K58" s="1746"/>
      <c r="M58" s="4"/>
      <c r="N58" s="4"/>
      <c r="O58" s="4"/>
      <c r="P58" s="4"/>
      <c r="Q58" s="4"/>
    </row>
    <row r="59" spans="2:17" x14ac:dyDescent="0.2">
      <c r="C59" s="38" t="s">
        <v>4263</v>
      </c>
      <c r="D59" s="1"/>
      <c r="E59" s="41"/>
      <c r="F59" s="64" t="str">
        <f>Kulturen!H414</f>
        <v>Ja</v>
      </c>
      <c r="G59" s="42"/>
      <c r="H59" s="372"/>
      <c r="I59" s="355"/>
      <c r="J59" s="355"/>
      <c r="K59" s="1746"/>
      <c r="M59" s="4"/>
      <c r="N59" s="4"/>
      <c r="O59" s="4"/>
      <c r="P59" s="4"/>
      <c r="Q59" s="4"/>
    </row>
    <row r="60" spans="2:17" s="59" customFormat="1" ht="18.75" x14ac:dyDescent="0.2">
      <c r="B60" s="221"/>
      <c r="C60" s="1541" t="s">
        <v>4273</v>
      </c>
      <c r="D60" s="214"/>
      <c r="E60" s="280"/>
      <c r="F60" s="1542" t="str">
        <f>ROUND(Kulturen!H418,0)&amp;" * "&amp;Kulturen!H417&amp;" / "&amp;Kulturen!H429&amp;" / "&amp;Kulturen!H440</f>
        <v>0 * 0 / 0 / 0</v>
      </c>
      <c r="G60" s="1543"/>
      <c r="H60" s="1544">
        <f>IF(Kulturen!H226=1,"",IF(OR(Kulturen!$I$467&gt;1,Kulturen!$I$463&lt;1),0,ROUND(Kulturen!$H$420,0)))</f>
        <v>0</v>
      </c>
      <c r="I60" s="1545">
        <f>IF(Kulturen!H226=1,"",IF(OR(Kulturen!J467&gt;1,Kulturen!J464&lt;1),0,ROUND(Kulturen!H431,0)))</f>
        <v>0</v>
      </c>
      <c r="J60" s="1546">
        <f>IF(Kulturen!H226=1,"",IF(OR(Kulturen!K467&gt;1,Kulturen!K465&lt;1),0,ROUND(Kulturen!H442,0)))</f>
        <v>0</v>
      </c>
      <c r="K60" s="1746"/>
      <c r="L60"/>
      <c r="M60" s="58"/>
      <c r="N60" s="58"/>
      <c r="O60" s="58"/>
      <c r="P60" s="58"/>
      <c r="Q60" s="58"/>
    </row>
    <row r="61" spans="2:17" s="59" customFormat="1" ht="29.25" customHeight="1" x14ac:dyDescent="0.2">
      <c r="B61" s="1671"/>
      <c r="C61" s="1885" t="s">
        <v>4778</v>
      </c>
      <c r="D61" s="1886"/>
      <c r="E61" s="1887"/>
      <c r="F61" s="1685" t="str">
        <f>Kulturen!H421&amp;" / "&amp;Kulturen!H432&amp;" / "&amp;Kulturen!H443</f>
        <v xml:space="preserve"> /  / </v>
      </c>
      <c r="G61" s="1686"/>
      <c r="H61" s="1687" t="str">
        <f>IF(OR(Kulturen!$I$467&gt;1,Kulturen!$I$463&lt;1),"",ROUND(Kulturen!H422,0))</f>
        <v/>
      </c>
      <c r="I61" s="1688" t="str">
        <f>IF(OR(Kulturen!J467&gt;1,Kulturen!J464&lt;1),"",ROUND(Kulturen!H433,0))</f>
        <v/>
      </c>
      <c r="J61" s="1689" t="str">
        <f>IF(OR(Kulturen!K467&gt;1,Kulturen!K465&lt;1),"",ROUND(Kulturen!H444,0))</f>
        <v/>
      </c>
      <c r="K61" s="1746"/>
      <c r="L61"/>
      <c r="M61" s="58"/>
      <c r="N61" s="58"/>
      <c r="O61" s="58"/>
      <c r="P61" s="58"/>
      <c r="Q61" s="58"/>
    </row>
    <row r="62" spans="2:17" x14ac:dyDescent="0.2">
      <c r="B62" s="1521"/>
      <c r="C62" s="65" t="s">
        <v>4779</v>
      </c>
      <c r="D62" s="4"/>
      <c r="E62" s="48"/>
      <c r="F62" s="66"/>
      <c r="G62" s="50"/>
      <c r="H62" s="45"/>
      <c r="I62" s="382"/>
      <c r="J62" s="184"/>
      <c r="K62" s="1746"/>
      <c r="M62" s="4"/>
      <c r="N62" s="4"/>
      <c r="O62" s="4"/>
      <c r="P62" s="4"/>
      <c r="Q62" s="4"/>
    </row>
    <row r="63" spans="2:17" x14ac:dyDescent="0.2">
      <c r="B63" s="1521"/>
      <c r="C63" s="1547" t="str">
        <f>IF(Kulturen!H230="Mais","Düngeempfehlung zu","")</f>
        <v/>
      </c>
      <c r="D63" s="188"/>
      <c r="E63" s="1548"/>
      <c r="F63" s="1549" t="str">
        <f>IF(Kulturen!H230="Mais",Kulturen!H382,"")</f>
        <v/>
      </c>
      <c r="G63" s="1548"/>
      <c r="H63" s="1550"/>
      <c r="I63" s="1551"/>
      <c r="J63" s="1552"/>
      <c r="K63" s="1746"/>
      <c r="M63" s="4"/>
      <c r="N63" s="4"/>
      <c r="O63" s="4"/>
      <c r="P63" s="4"/>
      <c r="Q63" s="4"/>
    </row>
    <row r="64" spans="2:17" s="59" customFormat="1" ht="16.5" x14ac:dyDescent="0.2">
      <c r="B64" s="1671"/>
      <c r="C64" s="1553" t="s">
        <v>4266</v>
      </c>
      <c r="D64" s="245"/>
      <c r="E64" s="245"/>
      <c r="F64" s="245"/>
      <c r="G64" s="246" t="s">
        <v>4910</v>
      </c>
      <c r="H64" s="301"/>
      <c r="I64" s="247" t="str">
        <f>IF(ISERROR(Kulturen!H435),"",IF((Kulturen!H435)&lt;0,0,(Kulturen!H435)))</f>
        <v/>
      </c>
      <c r="J64" s="248" t="str">
        <f>IF(ISERROR(Kulturen!H447),"",IF((Kulturen!H446)&lt;0,0,(Kulturen!H446)))</f>
        <v/>
      </c>
      <c r="K64" s="1746"/>
      <c r="O64" s="58"/>
      <c r="P64" s="58"/>
      <c r="Q64" s="58"/>
    </row>
    <row r="65" spans="2:17" s="59" customFormat="1" ht="15" x14ac:dyDescent="0.2">
      <c r="B65" s="1671"/>
      <c r="C65" s="244"/>
      <c r="D65" s="245"/>
      <c r="E65" s="245"/>
      <c r="F65" s="245"/>
      <c r="G65" s="246" t="s">
        <v>4750</v>
      </c>
      <c r="H65" s="301"/>
      <c r="I65" s="247">
        <f>I60</f>
        <v>0</v>
      </c>
      <c r="J65" s="248">
        <f>J60</f>
        <v>0</v>
      </c>
      <c r="K65" s="1746"/>
      <c r="O65" s="58"/>
      <c r="P65" s="58"/>
      <c r="Q65" s="58"/>
    </row>
    <row r="66" spans="2:17" s="59" customFormat="1" ht="16.5" x14ac:dyDescent="0.2">
      <c r="B66" s="1671"/>
      <c r="C66" s="1554" t="s">
        <v>4745</v>
      </c>
      <c r="D66" s="250"/>
      <c r="E66" s="250"/>
      <c r="F66" s="250"/>
      <c r="G66" s="251" t="s">
        <v>4910</v>
      </c>
      <c r="H66" s="252" t="str">
        <f>IF(ISERROR(Kulturen!H424),"",IF((Kulturen!H424)&lt;0,0,(Kulturen!H424)))</f>
        <v/>
      </c>
      <c r="I66" s="250"/>
      <c r="J66" s="253"/>
      <c r="K66" s="1746"/>
      <c r="L66"/>
      <c r="M66" s="58"/>
      <c r="N66" s="58"/>
      <c r="O66" s="58"/>
      <c r="P66" s="58"/>
      <c r="Q66" s="58"/>
    </row>
    <row r="67" spans="2:17" s="59" customFormat="1" ht="15" x14ac:dyDescent="0.2">
      <c r="B67" s="1671"/>
      <c r="C67" s="249"/>
      <c r="D67" s="250"/>
      <c r="E67" s="250"/>
      <c r="F67" s="250"/>
      <c r="G67" s="251" t="s">
        <v>4750</v>
      </c>
      <c r="H67" s="252">
        <f>H60</f>
        <v>0</v>
      </c>
      <c r="I67" s="250"/>
      <c r="J67" s="253"/>
      <c r="K67" s="1746"/>
      <c r="L67"/>
      <c r="M67" s="58"/>
      <c r="N67" s="58"/>
      <c r="O67" s="58"/>
      <c r="P67" s="58"/>
      <c r="Q67" s="58"/>
    </row>
    <row r="68" spans="2:17" s="59" customFormat="1" ht="13.7" customHeight="1" x14ac:dyDescent="0.2">
      <c r="B68" s="1671"/>
      <c r="C68" s="47"/>
      <c r="D68" s="48"/>
      <c r="E68" s="49"/>
      <c r="F68" s="49"/>
      <c r="G68" s="49"/>
      <c r="H68" s="49"/>
      <c r="I68" s="49"/>
      <c r="J68" s="50"/>
      <c r="K68" s="1746"/>
      <c r="L68"/>
      <c r="M68" s="58"/>
      <c r="N68" s="58"/>
      <c r="O68" s="58"/>
      <c r="P68" s="58"/>
      <c r="Q68" s="58"/>
    </row>
    <row r="69" spans="2:17" s="59" customFormat="1" ht="13.7" customHeight="1" x14ac:dyDescent="0.2">
      <c r="B69" s="1671"/>
      <c r="C69" s="47"/>
      <c r="D69" s="48"/>
      <c r="E69" s="49"/>
      <c r="F69" s="49"/>
      <c r="G69" s="49"/>
      <c r="H69" s="49"/>
      <c r="I69" s="49"/>
      <c r="J69" s="623" t="str">
        <f>IF(Kulturen!H227=1,"",IF(Kommentarliste!R57=0,Kommentarliste!J12,Kommentarliste!J14))</f>
        <v/>
      </c>
      <c r="K69" s="1749" t="str">
        <f>IF(Kommentarliste!R72=0,"",HYPERLINK("#AB_Kommentare!A10","&gt;&gt;&gt; Bitte Kommentare zum Ergebnis einsehen!"))</f>
        <v>&gt;&gt;&gt; Bitte Kommentare zum Ergebnis einsehen!</v>
      </c>
      <c r="L69"/>
      <c r="M69" s="58"/>
      <c r="N69" s="58"/>
      <c r="O69" s="58"/>
      <c r="P69" s="58"/>
      <c r="Q69" s="58"/>
    </row>
    <row r="70" spans="2:17" ht="13.7" customHeight="1" x14ac:dyDescent="0.2">
      <c r="C70" s="255"/>
      <c r="D70" s="54"/>
      <c r="E70" s="55"/>
      <c r="F70" s="55"/>
      <c r="G70" s="55"/>
      <c r="H70" s="8"/>
      <c r="I70" s="55"/>
      <c r="J70" s="9"/>
      <c r="K70" s="1746"/>
      <c r="M70" s="4"/>
      <c r="N70" s="4"/>
      <c r="O70" s="4"/>
      <c r="P70" s="4"/>
      <c r="Q70" s="4"/>
    </row>
    <row r="71" spans="2:17" ht="13.7" customHeight="1" x14ac:dyDescent="0.2">
      <c r="C71" s="47"/>
      <c r="D71" s="48"/>
      <c r="E71" s="49"/>
      <c r="F71" s="49"/>
      <c r="G71" s="49"/>
      <c r="H71" s="4"/>
      <c r="I71" s="49"/>
      <c r="J71" s="51"/>
      <c r="K71" s="1746"/>
      <c r="M71" s="4"/>
      <c r="N71" s="4"/>
      <c r="O71" s="4"/>
      <c r="P71" s="4"/>
      <c r="Q71" s="4"/>
    </row>
    <row r="72" spans="2:17" x14ac:dyDescent="0.2">
      <c r="C72" s="412" t="s">
        <v>38</v>
      </c>
      <c r="D72" s="413"/>
      <c r="E72" s="414"/>
      <c r="F72" s="414"/>
      <c r="G72" s="414"/>
      <c r="H72" s="414"/>
      <c r="I72" s="414"/>
      <c r="J72" s="415"/>
      <c r="K72" s="1746"/>
      <c r="M72" s="4"/>
      <c r="N72" s="4"/>
      <c r="O72" s="4"/>
      <c r="P72" s="4"/>
      <c r="Q72" s="4"/>
    </row>
    <row r="73" spans="2:17" x14ac:dyDescent="0.2">
      <c r="C73" s="5"/>
      <c r="D73" s="4"/>
      <c r="E73" s="4"/>
      <c r="F73" s="4"/>
      <c r="G73" s="4"/>
      <c r="H73" s="4"/>
      <c r="I73" s="49"/>
      <c r="J73" s="50"/>
      <c r="K73" s="1746"/>
      <c r="M73" s="4"/>
      <c r="N73" s="4"/>
      <c r="O73" s="4"/>
      <c r="P73" s="4"/>
      <c r="Q73" s="4"/>
    </row>
    <row r="74" spans="2:17" x14ac:dyDescent="0.2">
      <c r="C74" s="279" t="s">
        <v>13</v>
      </c>
      <c r="D74" s="214"/>
      <c r="E74" s="280"/>
      <c r="F74" s="281" t="str">
        <f>Kulturen!H229</f>
        <v>auswählen !</v>
      </c>
      <c r="G74" s="214"/>
      <c r="H74" s="3"/>
      <c r="I74" s="241"/>
      <c r="J74" s="243"/>
      <c r="K74" s="1746"/>
      <c r="M74" s="4"/>
      <c r="N74" s="4"/>
      <c r="O74" s="4"/>
      <c r="P74" s="4"/>
      <c r="Q74" s="4"/>
    </row>
    <row r="75" spans="2:17" x14ac:dyDescent="0.2">
      <c r="C75" s="53" t="s">
        <v>39</v>
      </c>
      <c r="D75" s="8"/>
      <c r="E75" s="55"/>
      <c r="F75" s="255" t="str">
        <f>IF(AB_Kalk!I270="Moor, Mo",AB_Kalk!I270,AB_Kalk!I270&amp;" (-"&amp;AB_Kalk!O270&amp;" )")</f>
        <v>sandiger bis schluffiger Lehm, sL - uL (-mittel )</v>
      </c>
      <c r="G75" s="8"/>
      <c r="H75" s="55"/>
      <c r="I75" s="8"/>
      <c r="J75" s="9"/>
      <c r="K75" s="1746"/>
      <c r="M75" s="4"/>
      <c r="N75" s="4"/>
      <c r="O75" s="4"/>
      <c r="P75" s="4"/>
      <c r="Q75" s="4"/>
    </row>
    <row r="76" spans="2:17" x14ac:dyDescent="0.2">
      <c r="C76" s="62" t="s">
        <v>40</v>
      </c>
      <c r="D76" s="31"/>
      <c r="E76" s="63"/>
      <c r="F76" s="139">
        <f>AB_Eingabe!E42</f>
        <v>0</v>
      </c>
      <c r="G76" s="63"/>
      <c r="H76" s="63"/>
      <c r="I76" s="31"/>
      <c r="J76" s="13"/>
      <c r="K76" s="1746"/>
      <c r="M76" s="4"/>
      <c r="N76" s="4"/>
      <c r="O76" s="4"/>
      <c r="P76" s="4"/>
      <c r="Q76" s="4"/>
    </row>
    <row r="77" spans="2:17" x14ac:dyDescent="0.2">
      <c r="C77" s="47" t="s">
        <v>41</v>
      </c>
      <c r="D77" s="4"/>
      <c r="E77" s="49"/>
      <c r="F77" s="140">
        <f>AB_Kalk!I272</f>
        <v>6.0000000000000098</v>
      </c>
      <c r="G77" s="388" t="str">
        <f>IF(AB_Eingabe!E42=0,"",AB_Kalk!H274)</f>
        <v/>
      </c>
      <c r="H77" s="4"/>
      <c r="I77" s="49"/>
      <c r="J77" s="50"/>
      <c r="K77" s="1746"/>
      <c r="M77" s="4"/>
      <c r="N77" s="4"/>
      <c r="O77" s="4"/>
      <c r="P77" s="4"/>
      <c r="Q77" s="4"/>
    </row>
    <row r="78" spans="2:17" ht="15" x14ac:dyDescent="0.25">
      <c r="C78" s="67"/>
      <c r="D78" s="68"/>
      <c r="E78" s="69"/>
      <c r="F78" s="69"/>
      <c r="G78" s="72"/>
      <c r="H78" s="72"/>
      <c r="I78" s="108" t="s">
        <v>42</v>
      </c>
      <c r="J78" s="224" t="str">
        <f>IF(Kommentarliste!$R$71=1,"",AB_Kalk!H273)</f>
        <v/>
      </c>
      <c r="K78" s="1746"/>
      <c r="M78" s="4"/>
      <c r="N78" s="4"/>
      <c r="O78" s="4"/>
      <c r="P78" s="4"/>
      <c r="Q78" s="4"/>
    </row>
    <row r="79" spans="2:17" ht="15" x14ac:dyDescent="0.25">
      <c r="C79" s="67"/>
      <c r="D79" s="68"/>
      <c r="E79" s="69"/>
      <c r="F79" s="69"/>
      <c r="G79" s="69"/>
      <c r="H79" s="69"/>
      <c r="I79" s="108" t="s">
        <v>43</v>
      </c>
      <c r="J79" s="224" t="str">
        <f>IF(Kommentarliste!$R$71=1,"",AB_Kalk!H275)</f>
        <v/>
      </c>
      <c r="K79" s="1746"/>
      <c r="M79" s="4"/>
      <c r="N79" s="4"/>
      <c r="O79" s="4"/>
      <c r="P79" s="4"/>
      <c r="Q79" s="4"/>
    </row>
    <row r="80" spans="2:17" x14ac:dyDescent="0.2">
      <c r="C80" s="259"/>
      <c r="D80" s="54"/>
      <c r="E80" s="55"/>
      <c r="F80" s="55"/>
      <c r="G80" s="55"/>
      <c r="H80" s="55"/>
      <c r="I80" s="55"/>
      <c r="J80" s="56"/>
      <c r="K80" s="1746"/>
      <c r="M80" s="4"/>
      <c r="N80" s="4"/>
      <c r="O80" s="4"/>
      <c r="P80" s="4"/>
      <c r="Q80" s="4"/>
    </row>
    <row r="81" spans="2:17" x14ac:dyDescent="0.2">
      <c r="M81" s="4"/>
      <c r="N81" s="4"/>
      <c r="O81" s="4"/>
      <c r="P81" s="4"/>
      <c r="Q81" s="4"/>
    </row>
    <row r="82" spans="2:17" ht="0.75" customHeight="1" x14ac:dyDescent="0.2">
      <c r="C82" s="71"/>
      <c r="D82" s="258"/>
      <c r="E82" s="110"/>
      <c r="F82" s="110"/>
      <c r="G82" s="110"/>
      <c r="H82" s="110"/>
      <c r="I82" s="110"/>
      <c r="J82" s="268"/>
      <c r="M82" s="4"/>
      <c r="N82" s="4"/>
      <c r="O82" s="4"/>
      <c r="P82" s="4"/>
      <c r="Q82" s="4"/>
    </row>
    <row r="83" spans="2:17" ht="0.75" customHeight="1" x14ac:dyDescent="0.2">
      <c r="C83" s="71"/>
      <c r="D83" s="258"/>
      <c r="E83" s="110"/>
      <c r="F83" s="110"/>
      <c r="G83" s="110"/>
      <c r="H83" s="110"/>
      <c r="I83" s="110"/>
      <c r="J83" s="268"/>
      <c r="M83" s="4"/>
      <c r="N83" s="4"/>
      <c r="O83" s="4"/>
      <c r="P83" s="4"/>
      <c r="Q83" s="4"/>
    </row>
    <row r="84" spans="2:17" ht="0.75" customHeight="1" x14ac:dyDescent="0.2">
      <c r="B84"/>
      <c r="M84" s="4"/>
      <c r="N84" s="4"/>
      <c r="O84" s="4"/>
      <c r="P84" s="4"/>
      <c r="Q84" s="4"/>
    </row>
    <row r="85" spans="2:17" ht="0.75" customHeight="1" x14ac:dyDescent="0.2">
      <c r="B85"/>
      <c r="M85" s="4"/>
      <c r="N85" s="4"/>
      <c r="O85" s="4"/>
      <c r="P85" s="4"/>
      <c r="Q85" s="4"/>
    </row>
    <row r="86" spans="2:17" ht="0.75" customHeight="1" x14ac:dyDescent="0.2">
      <c r="B86"/>
      <c r="M86" s="4"/>
      <c r="N86" s="4"/>
      <c r="O86" s="4"/>
      <c r="P86" s="4"/>
      <c r="Q86" s="4"/>
    </row>
    <row r="87" spans="2:17" ht="0.75" customHeight="1" x14ac:dyDescent="0.2">
      <c r="B87"/>
      <c r="M87" s="4"/>
      <c r="N87" s="4"/>
      <c r="O87" s="4"/>
      <c r="P87" s="4"/>
      <c r="Q87" s="4"/>
    </row>
    <row r="88" spans="2:17" x14ac:dyDescent="0.2">
      <c r="B88"/>
      <c r="M88" s="4"/>
      <c r="N88" s="4"/>
      <c r="O88" s="4"/>
      <c r="P88" s="4"/>
      <c r="Q88" s="4"/>
    </row>
    <row r="89" spans="2:17" x14ac:dyDescent="0.2">
      <c r="C89" s="73"/>
      <c r="D89" s="73"/>
      <c r="E89" s="74"/>
      <c r="F89" s="74"/>
      <c r="G89" s="74"/>
      <c r="H89" s="74"/>
      <c r="I89" s="74"/>
      <c r="J89" s="74"/>
      <c r="M89" s="4"/>
      <c r="N89" s="4"/>
      <c r="O89" s="4"/>
      <c r="P89" s="4"/>
      <c r="Q89" s="4"/>
    </row>
    <row r="90" spans="2:17" x14ac:dyDescent="0.2">
      <c r="C90" s="73"/>
      <c r="D90" s="73"/>
      <c r="E90" s="74"/>
      <c r="F90" s="74"/>
      <c r="G90" s="74"/>
      <c r="H90" s="74"/>
      <c r="I90" s="74"/>
      <c r="J90" s="74"/>
      <c r="M90" s="4"/>
      <c r="N90" s="4"/>
      <c r="O90" s="4"/>
      <c r="P90" s="4"/>
      <c r="Q90" s="4"/>
    </row>
    <row r="91" spans="2:17" x14ac:dyDescent="0.2">
      <c r="C91" s="74"/>
      <c r="D91" s="74"/>
      <c r="E91" s="74"/>
      <c r="F91" s="74"/>
      <c r="G91" s="74"/>
      <c r="H91" s="74"/>
      <c r="I91" s="74"/>
      <c r="J91" s="74"/>
      <c r="M91" s="4"/>
      <c r="N91" s="4"/>
      <c r="O91" s="4"/>
      <c r="P91" s="4"/>
      <c r="Q91" s="4"/>
    </row>
    <row r="92" spans="2:17" x14ac:dyDescent="0.2">
      <c r="C92" s="74"/>
      <c r="D92" s="74"/>
      <c r="E92" s="74"/>
      <c r="F92" s="74"/>
      <c r="G92" s="74"/>
      <c r="H92" s="74"/>
      <c r="I92" s="74"/>
      <c r="J92" s="74"/>
      <c r="M92" s="4"/>
      <c r="N92" s="4"/>
      <c r="O92" s="4"/>
      <c r="P92" s="4"/>
      <c r="Q92" s="4"/>
    </row>
    <row r="93" spans="2:17" x14ac:dyDescent="0.2">
      <c r="C93" s="74"/>
      <c r="D93" s="74"/>
      <c r="E93" s="74"/>
      <c r="F93" s="74"/>
      <c r="G93" s="74"/>
      <c r="H93" s="74"/>
      <c r="I93" s="74"/>
      <c r="J93" s="74"/>
      <c r="M93" s="4"/>
      <c r="N93" s="4"/>
      <c r="O93" s="4"/>
      <c r="P93" s="4"/>
      <c r="Q93" s="4"/>
    </row>
    <row r="94" spans="2:17" x14ac:dyDescent="0.2">
      <c r="C94" s="74"/>
      <c r="D94" s="74"/>
      <c r="E94" s="74"/>
      <c r="F94" s="74"/>
      <c r="G94" s="74"/>
      <c r="H94" s="74"/>
      <c r="I94" s="74"/>
      <c r="J94" s="74"/>
      <c r="M94" s="4"/>
      <c r="N94" s="4"/>
      <c r="O94" s="4"/>
      <c r="P94" s="4"/>
      <c r="Q94" s="4"/>
    </row>
    <row r="95" spans="2:17" x14ac:dyDescent="0.2">
      <c r="C95" s="74"/>
      <c r="D95" s="74"/>
      <c r="E95" s="74"/>
      <c r="F95" s="74"/>
      <c r="G95" s="74"/>
      <c r="H95" s="74"/>
      <c r="I95" s="74"/>
      <c r="J95" s="74"/>
      <c r="M95" s="4"/>
      <c r="N95" s="4"/>
      <c r="O95" s="4"/>
      <c r="P95" s="4"/>
      <c r="Q95" s="4"/>
    </row>
    <row r="96" spans="2:17" x14ac:dyDescent="0.2">
      <c r="C96" s="74"/>
      <c r="D96" s="74"/>
      <c r="E96" s="74"/>
      <c r="F96" s="74"/>
      <c r="G96" s="74"/>
      <c r="H96" s="74"/>
      <c r="I96" s="74"/>
      <c r="J96" s="74"/>
      <c r="M96" s="4"/>
      <c r="N96" s="4"/>
      <c r="O96" s="4"/>
      <c r="P96" s="4"/>
      <c r="Q96" s="4"/>
    </row>
    <row r="97" spans="3:17" x14ac:dyDescent="0.2">
      <c r="C97" s="74"/>
      <c r="D97" s="74"/>
      <c r="E97" s="74"/>
      <c r="F97" s="74"/>
      <c r="G97" s="74"/>
      <c r="H97" s="74"/>
      <c r="I97" s="74"/>
      <c r="J97" s="74"/>
      <c r="M97" s="4"/>
      <c r="N97" s="4"/>
      <c r="O97" s="4"/>
      <c r="P97" s="4"/>
      <c r="Q97" s="4"/>
    </row>
    <row r="98" spans="3:17" x14ac:dyDescent="0.2">
      <c r="C98" s="74"/>
      <c r="D98" s="74"/>
      <c r="E98" s="74"/>
      <c r="F98" s="74"/>
      <c r="G98" s="74"/>
      <c r="H98" s="74"/>
      <c r="I98" s="74"/>
      <c r="J98" s="74"/>
      <c r="M98" s="4"/>
      <c r="N98" s="4"/>
      <c r="O98" s="4"/>
      <c r="P98" s="4"/>
      <c r="Q98" s="4"/>
    </row>
    <row r="99" spans="3:17" x14ac:dyDescent="0.2">
      <c r="C99" s="74"/>
      <c r="D99" s="74"/>
      <c r="E99" s="74"/>
      <c r="F99" s="74"/>
      <c r="G99" s="74"/>
      <c r="H99" s="74"/>
      <c r="I99" s="74"/>
      <c r="J99" s="74"/>
      <c r="M99" s="4"/>
      <c r="N99" s="4"/>
      <c r="O99" s="4"/>
      <c r="P99" s="4"/>
      <c r="Q99" s="4"/>
    </row>
    <row r="100" spans="3:17" x14ac:dyDescent="0.2">
      <c r="C100" s="74"/>
      <c r="D100" s="74"/>
      <c r="E100" s="74"/>
      <c r="F100" s="74"/>
      <c r="G100" s="74"/>
      <c r="H100" s="74"/>
      <c r="I100" s="74"/>
      <c r="J100" s="74"/>
      <c r="M100" s="4"/>
      <c r="N100" s="4"/>
      <c r="O100" s="4"/>
      <c r="P100" s="4"/>
      <c r="Q100" s="4"/>
    </row>
    <row r="101" spans="3:17" x14ac:dyDescent="0.2">
      <c r="C101" s="74"/>
      <c r="D101" s="74"/>
      <c r="E101" s="74"/>
      <c r="F101" s="74"/>
      <c r="G101" s="74"/>
      <c r="H101" s="74"/>
      <c r="I101" s="74"/>
      <c r="J101" s="74"/>
      <c r="M101" s="4"/>
      <c r="N101" s="4"/>
      <c r="O101" s="4"/>
      <c r="P101" s="4"/>
      <c r="Q101" s="4"/>
    </row>
    <row r="102" spans="3:17" x14ac:dyDescent="0.2">
      <c r="C102" s="74"/>
      <c r="D102" s="74"/>
      <c r="E102" s="74"/>
      <c r="F102" s="74"/>
      <c r="G102" s="74"/>
      <c r="H102" s="74"/>
      <c r="I102" s="74"/>
      <c r="J102" s="74"/>
      <c r="M102" s="4"/>
      <c r="N102" s="4"/>
      <c r="O102" s="4"/>
      <c r="P102" s="4"/>
      <c r="Q102" s="4"/>
    </row>
    <row r="103" spans="3:17" x14ac:dyDescent="0.2">
      <c r="C103" s="74"/>
      <c r="D103" s="74"/>
      <c r="E103" s="74"/>
      <c r="F103" s="74"/>
      <c r="G103" s="74"/>
      <c r="H103" s="74"/>
      <c r="I103" s="74"/>
      <c r="J103" s="74"/>
      <c r="M103" s="4"/>
      <c r="N103" s="4"/>
      <c r="O103" s="4"/>
      <c r="P103" s="4"/>
      <c r="Q103" s="4"/>
    </row>
    <row r="104" spans="3:17" x14ac:dyDescent="0.2">
      <c r="C104" s="74"/>
      <c r="D104" s="74"/>
      <c r="E104" s="74"/>
      <c r="F104" s="74"/>
      <c r="G104" s="74"/>
      <c r="H104" s="74"/>
      <c r="I104" s="74"/>
      <c r="J104" s="74"/>
      <c r="M104" s="4"/>
      <c r="N104" s="4"/>
      <c r="O104" s="4"/>
      <c r="P104" s="4"/>
      <c r="Q104" s="4"/>
    </row>
    <row r="105" spans="3:17" x14ac:dyDescent="0.2">
      <c r="C105" s="74"/>
      <c r="D105" s="74"/>
      <c r="E105" s="74"/>
      <c r="F105" s="74"/>
      <c r="G105" s="74"/>
      <c r="H105" s="74"/>
      <c r="I105" s="74"/>
      <c r="J105" s="74"/>
      <c r="M105" s="4"/>
      <c r="N105" s="4"/>
      <c r="O105" s="4"/>
      <c r="P105" s="4"/>
      <c r="Q105" s="4"/>
    </row>
    <row r="106" spans="3:17" x14ac:dyDescent="0.2">
      <c r="C106" s="74"/>
      <c r="D106" s="74"/>
      <c r="E106" s="74"/>
      <c r="F106" s="74"/>
      <c r="G106" s="74"/>
      <c r="H106" s="74"/>
      <c r="I106" s="74"/>
      <c r="J106" s="74"/>
      <c r="M106" s="4"/>
      <c r="N106" s="4"/>
      <c r="O106" s="4"/>
      <c r="P106" s="4"/>
      <c r="Q106" s="4"/>
    </row>
    <row r="107" spans="3:17" x14ac:dyDescent="0.2">
      <c r="C107" s="74"/>
      <c r="D107" s="74"/>
      <c r="E107" s="74"/>
      <c r="F107" s="74"/>
      <c r="G107" s="74"/>
      <c r="H107" s="74"/>
      <c r="I107" s="74"/>
      <c r="J107" s="74"/>
      <c r="M107" s="4"/>
      <c r="N107" s="4"/>
      <c r="O107" s="4"/>
      <c r="P107" s="4"/>
      <c r="Q107" s="4"/>
    </row>
    <row r="108" spans="3:17" x14ac:dyDescent="0.2">
      <c r="C108" s="74"/>
      <c r="D108" s="74"/>
      <c r="E108" s="74"/>
      <c r="F108" s="74"/>
      <c r="G108" s="74"/>
      <c r="H108" s="74"/>
      <c r="I108" s="74"/>
      <c r="J108" s="74"/>
      <c r="M108" s="4"/>
      <c r="N108" s="4"/>
      <c r="O108" s="4"/>
      <c r="P108" s="4"/>
      <c r="Q108" s="4"/>
    </row>
    <row r="109" spans="3:17" x14ac:dyDescent="0.2">
      <c r="C109" s="74"/>
      <c r="D109" s="74"/>
      <c r="E109" s="74"/>
      <c r="F109" s="74"/>
      <c r="G109" s="74"/>
      <c r="H109" s="74"/>
      <c r="I109" s="74"/>
      <c r="J109" s="74"/>
      <c r="M109" s="4"/>
      <c r="N109" s="4"/>
      <c r="O109" s="4"/>
      <c r="P109" s="4"/>
      <c r="Q109" s="4"/>
    </row>
    <row r="110" spans="3:17" x14ac:dyDescent="0.2">
      <c r="C110" s="74"/>
      <c r="D110" s="74"/>
      <c r="E110" s="74"/>
      <c r="F110" s="74"/>
      <c r="G110" s="74"/>
      <c r="H110" s="74"/>
      <c r="I110" s="74"/>
      <c r="J110" s="74"/>
      <c r="M110" s="4"/>
      <c r="N110" s="4"/>
      <c r="O110" s="4"/>
      <c r="P110" s="4"/>
      <c r="Q110" s="4"/>
    </row>
    <row r="111" spans="3:17" x14ac:dyDescent="0.2">
      <c r="C111" s="74"/>
      <c r="D111" s="74"/>
      <c r="E111" s="74"/>
      <c r="F111" s="74"/>
      <c r="G111" s="74"/>
      <c r="H111" s="74"/>
      <c r="I111" s="74"/>
      <c r="J111" s="74"/>
      <c r="M111" s="4"/>
      <c r="N111" s="4"/>
      <c r="O111" s="4"/>
      <c r="P111" s="4"/>
      <c r="Q111" s="4"/>
    </row>
    <row r="112" spans="3:17" x14ac:dyDescent="0.2">
      <c r="C112" s="74"/>
      <c r="D112" s="74"/>
      <c r="E112" s="74"/>
      <c r="F112" s="74"/>
      <c r="G112" s="74"/>
      <c r="H112" s="74"/>
      <c r="I112" s="74"/>
      <c r="J112" s="74"/>
      <c r="M112" s="4"/>
      <c r="N112" s="4"/>
      <c r="O112" s="4"/>
      <c r="P112" s="4"/>
      <c r="Q112" s="4"/>
    </row>
    <row r="113" spans="3:17" x14ac:dyDescent="0.2">
      <c r="C113" s="74"/>
      <c r="D113" s="74"/>
      <c r="E113" s="74"/>
      <c r="F113" s="74"/>
      <c r="G113" s="74"/>
      <c r="H113" s="74"/>
      <c r="I113" s="74"/>
      <c r="J113" s="74"/>
      <c r="M113" s="4"/>
      <c r="N113" s="4"/>
      <c r="O113" s="4"/>
      <c r="P113" s="4"/>
      <c r="Q113" s="4"/>
    </row>
    <row r="114" spans="3:17" x14ac:dyDescent="0.2">
      <c r="C114" s="74"/>
      <c r="D114" s="74"/>
      <c r="E114" s="74"/>
      <c r="F114" s="74"/>
      <c r="G114" s="74"/>
      <c r="H114" s="74"/>
      <c r="I114" s="74"/>
      <c r="J114" s="74"/>
      <c r="M114" s="4"/>
      <c r="N114" s="4"/>
      <c r="O114" s="4"/>
      <c r="P114" s="4"/>
      <c r="Q114" s="4"/>
    </row>
    <row r="115" spans="3:17" x14ac:dyDescent="0.2">
      <c r="C115" s="74"/>
      <c r="D115" s="74"/>
      <c r="E115" s="74"/>
      <c r="F115" s="74"/>
      <c r="G115" s="74"/>
      <c r="H115" s="74"/>
      <c r="I115" s="74"/>
      <c r="J115" s="74"/>
      <c r="M115" s="4"/>
      <c r="N115" s="4"/>
      <c r="O115" s="4"/>
      <c r="P115" s="4"/>
      <c r="Q115" s="4"/>
    </row>
    <row r="116" spans="3:17" x14ac:dyDescent="0.2">
      <c r="C116" s="74"/>
      <c r="D116" s="74"/>
      <c r="E116" s="74"/>
      <c r="F116" s="74"/>
      <c r="G116" s="74"/>
      <c r="H116" s="74"/>
      <c r="I116" s="74"/>
      <c r="J116" s="74"/>
      <c r="M116" s="4"/>
      <c r="N116" s="4"/>
      <c r="O116" s="4"/>
      <c r="P116" s="4"/>
      <c r="Q116" s="4"/>
    </row>
    <row r="117" spans="3:17" x14ac:dyDescent="0.2">
      <c r="C117" s="74"/>
      <c r="D117" s="74"/>
      <c r="E117" s="74"/>
      <c r="F117" s="74"/>
      <c r="G117" s="74"/>
      <c r="H117" s="74"/>
      <c r="I117" s="74"/>
      <c r="J117" s="74"/>
      <c r="M117" s="4"/>
      <c r="N117" s="4"/>
      <c r="O117" s="4"/>
      <c r="P117" s="4"/>
      <c r="Q117" s="4"/>
    </row>
    <row r="118" spans="3:17" x14ac:dyDescent="0.2">
      <c r="C118" s="74"/>
      <c r="D118" s="74"/>
      <c r="E118" s="74"/>
      <c r="F118" s="74"/>
      <c r="G118" s="74"/>
      <c r="H118" s="74"/>
      <c r="I118" s="74"/>
      <c r="J118" s="74"/>
      <c r="M118" s="4"/>
      <c r="N118" s="4"/>
      <c r="O118" s="4"/>
      <c r="P118" s="4"/>
      <c r="Q118" s="4"/>
    </row>
    <row r="119" spans="3:17" x14ac:dyDescent="0.2">
      <c r="C119" s="74"/>
      <c r="D119" s="74"/>
      <c r="E119" s="74"/>
      <c r="F119" s="74"/>
      <c r="G119" s="74"/>
      <c r="H119" s="74"/>
      <c r="I119" s="74"/>
      <c r="J119" s="74"/>
      <c r="M119" s="4"/>
      <c r="N119" s="4"/>
      <c r="O119" s="4"/>
      <c r="P119" s="4"/>
      <c r="Q119" s="4"/>
    </row>
    <row r="120" spans="3:17" x14ac:dyDescent="0.2">
      <c r="C120" s="74"/>
      <c r="D120" s="74"/>
      <c r="E120" s="74"/>
      <c r="F120" s="74"/>
      <c r="G120" s="74"/>
      <c r="H120" s="74"/>
      <c r="I120" s="74"/>
      <c r="J120" s="74"/>
      <c r="M120" s="4"/>
      <c r="N120" s="4"/>
      <c r="O120" s="4"/>
      <c r="P120" s="4"/>
      <c r="Q120" s="4"/>
    </row>
    <row r="121" spans="3:17" x14ac:dyDescent="0.2">
      <c r="C121" s="74"/>
      <c r="D121" s="74"/>
      <c r="E121" s="74"/>
      <c r="F121" s="74"/>
      <c r="G121" s="74"/>
      <c r="H121" s="74"/>
      <c r="I121" s="74"/>
      <c r="J121" s="74"/>
      <c r="M121" s="4"/>
      <c r="N121" s="4"/>
      <c r="O121" s="4"/>
      <c r="P121" s="4"/>
      <c r="Q121" s="4"/>
    </row>
    <row r="122" spans="3:17" x14ac:dyDescent="0.2">
      <c r="C122" s="74"/>
      <c r="D122" s="74"/>
      <c r="E122" s="74"/>
      <c r="F122" s="74"/>
      <c r="G122" s="74"/>
      <c r="H122" s="74"/>
      <c r="I122" s="74"/>
      <c r="J122" s="74"/>
      <c r="M122" s="4"/>
      <c r="N122" s="4"/>
      <c r="O122" s="4"/>
      <c r="P122" s="4"/>
      <c r="Q122" s="4"/>
    </row>
    <row r="123" spans="3:17" x14ac:dyDescent="0.2">
      <c r="C123" s="74"/>
      <c r="D123" s="74"/>
      <c r="E123" s="74"/>
      <c r="F123" s="74"/>
      <c r="G123" s="74"/>
      <c r="H123" s="74"/>
      <c r="I123" s="74"/>
      <c r="J123" s="74"/>
      <c r="M123" s="4"/>
      <c r="N123" s="4"/>
      <c r="O123" s="4"/>
      <c r="P123" s="4"/>
      <c r="Q123" s="4"/>
    </row>
    <row r="124" spans="3:17" x14ac:dyDescent="0.2">
      <c r="C124" s="74"/>
      <c r="D124" s="74"/>
      <c r="E124" s="74"/>
      <c r="F124" s="74"/>
      <c r="G124" s="74"/>
      <c r="H124" s="74"/>
      <c r="I124" s="74"/>
      <c r="J124" s="74"/>
      <c r="M124" s="4"/>
      <c r="N124" s="4"/>
      <c r="O124" s="4"/>
      <c r="P124" s="4"/>
      <c r="Q124" s="4"/>
    </row>
    <row r="125" spans="3:17" x14ac:dyDescent="0.2">
      <c r="C125" s="74"/>
      <c r="D125" s="74"/>
      <c r="E125" s="74"/>
      <c r="F125" s="74"/>
      <c r="G125" s="74"/>
      <c r="H125" s="74"/>
      <c r="I125" s="74"/>
      <c r="J125" s="74"/>
      <c r="M125" s="4"/>
      <c r="N125" s="4"/>
      <c r="O125" s="4"/>
      <c r="P125" s="4"/>
      <c r="Q125" s="4"/>
    </row>
    <row r="126" spans="3:17" x14ac:dyDescent="0.2">
      <c r="C126" s="74"/>
      <c r="D126" s="74"/>
      <c r="E126" s="74"/>
      <c r="F126" s="74"/>
      <c r="G126" s="74"/>
      <c r="H126" s="74"/>
      <c r="I126" s="74"/>
      <c r="J126" s="74"/>
      <c r="M126" s="4"/>
      <c r="N126" s="4"/>
      <c r="O126" s="4"/>
      <c r="P126" s="4"/>
      <c r="Q126" s="4"/>
    </row>
    <row r="127" spans="3:17" x14ac:dyDescent="0.2">
      <c r="C127" s="74"/>
      <c r="D127" s="74"/>
      <c r="E127" s="74"/>
      <c r="F127" s="74"/>
      <c r="G127" s="74"/>
      <c r="H127" s="74"/>
      <c r="I127" s="74"/>
      <c r="J127" s="74"/>
      <c r="M127" s="4"/>
      <c r="N127" s="4"/>
      <c r="O127" s="4"/>
      <c r="P127" s="4"/>
      <c r="Q127" s="4"/>
    </row>
    <row r="128" spans="3:17" x14ac:dyDescent="0.2">
      <c r="C128" s="74"/>
      <c r="D128" s="74"/>
      <c r="E128" s="74"/>
      <c r="F128" s="74"/>
      <c r="G128" s="74"/>
      <c r="H128" s="74"/>
      <c r="I128" s="74"/>
      <c r="J128" s="74"/>
      <c r="M128" s="4"/>
      <c r="N128" s="4"/>
      <c r="O128" s="4"/>
      <c r="P128" s="4"/>
      <c r="Q128" s="4"/>
    </row>
    <row r="129" spans="3:17" x14ac:dyDescent="0.2">
      <c r="C129" s="74"/>
      <c r="D129" s="74"/>
      <c r="E129" s="74"/>
      <c r="F129" s="74"/>
      <c r="G129" s="74"/>
      <c r="H129" s="74"/>
      <c r="I129" s="74"/>
      <c r="J129" s="74"/>
      <c r="M129" s="4"/>
      <c r="N129" s="4"/>
      <c r="O129" s="4"/>
      <c r="P129" s="4"/>
      <c r="Q129" s="4"/>
    </row>
    <row r="130" spans="3:17" x14ac:dyDescent="0.2">
      <c r="C130" s="74"/>
      <c r="D130" s="74"/>
      <c r="E130" s="74"/>
      <c r="F130" s="74"/>
      <c r="G130" s="74"/>
      <c r="H130" s="74"/>
      <c r="I130" s="74"/>
      <c r="J130" s="74"/>
      <c r="M130" s="4"/>
      <c r="N130" s="4"/>
      <c r="O130" s="4"/>
      <c r="P130" s="4"/>
      <c r="Q130" s="4"/>
    </row>
    <row r="131" spans="3:17" x14ac:dyDescent="0.2">
      <c r="C131" s="74"/>
      <c r="D131" s="74"/>
      <c r="E131" s="74"/>
      <c r="F131" s="74"/>
      <c r="G131" s="74"/>
      <c r="H131" s="74"/>
      <c r="I131" s="74"/>
      <c r="J131" s="74"/>
      <c r="M131" s="4"/>
      <c r="N131" s="4"/>
      <c r="O131" s="4"/>
      <c r="P131" s="4"/>
      <c r="Q131" s="4"/>
    </row>
    <row r="132" spans="3:17" x14ac:dyDescent="0.2">
      <c r="C132" s="74"/>
      <c r="D132" s="74"/>
      <c r="E132" s="74"/>
      <c r="F132" s="74"/>
      <c r="G132" s="74"/>
      <c r="H132" s="74"/>
      <c r="I132" s="74"/>
      <c r="J132" s="74"/>
      <c r="M132" s="4"/>
      <c r="N132" s="4"/>
      <c r="O132" s="4"/>
      <c r="P132" s="4"/>
      <c r="Q132" s="4"/>
    </row>
    <row r="133" spans="3:17" x14ac:dyDescent="0.2">
      <c r="C133" s="74"/>
      <c r="D133" s="74"/>
      <c r="E133" s="74"/>
      <c r="F133" s="74"/>
      <c r="G133" s="74"/>
      <c r="H133" s="74"/>
      <c r="I133" s="74"/>
      <c r="J133" s="74"/>
      <c r="M133" s="4"/>
      <c r="N133" s="4"/>
      <c r="O133" s="4"/>
      <c r="P133" s="4"/>
      <c r="Q133" s="4"/>
    </row>
    <row r="134" spans="3:17" x14ac:dyDescent="0.2">
      <c r="C134" s="74"/>
      <c r="D134" s="74"/>
      <c r="E134" s="74"/>
      <c r="F134" s="74"/>
      <c r="G134" s="74"/>
      <c r="H134" s="74"/>
      <c r="I134" s="74"/>
      <c r="J134" s="74"/>
      <c r="M134" s="4"/>
      <c r="N134" s="4"/>
      <c r="O134" s="4"/>
      <c r="P134" s="4"/>
      <c r="Q134" s="4"/>
    </row>
    <row r="135" spans="3:17" x14ac:dyDescent="0.2">
      <c r="C135" s="74"/>
      <c r="D135" s="74"/>
      <c r="E135" s="74"/>
      <c r="F135" s="74"/>
      <c r="G135" s="74"/>
      <c r="H135" s="74"/>
      <c r="I135" s="74"/>
      <c r="J135" s="74"/>
      <c r="M135" s="4"/>
      <c r="N135" s="4"/>
      <c r="O135" s="4"/>
      <c r="P135" s="4"/>
      <c r="Q135" s="4"/>
    </row>
    <row r="136" spans="3:17" x14ac:dyDescent="0.2">
      <c r="C136" s="74"/>
      <c r="D136" s="74"/>
      <c r="E136" s="74"/>
      <c r="F136" s="74"/>
      <c r="G136" s="74"/>
      <c r="H136" s="74"/>
      <c r="I136" s="74"/>
      <c r="J136" s="74"/>
      <c r="M136" s="4"/>
      <c r="N136" s="4"/>
      <c r="O136" s="4"/>
      <c r="P136" s="4"/>
      <c r="Q136" s="4"/>
    </row>
    <row r="137" spans="3:17" x14ac:dyDescent="0.2">
      <c r="C137" s="74"/>
      <c r="D137" s="74"/>
      <c r="E137" s="74"/>
      <c r="F137" s="74"/>
      <c r="G137" s="74"/>
      <c r="H137" s="74"/>
      <c r="I137" s="74"/>
      <c r="J137" s="74"/>
      <c r="M137" s="4"/>
      <c r="N137" s="4"/>
      <c r="O137" s="4"/>
      <c r="P137" s="4"/>
      <c r="Q137" s="4"/>
    </row>
    <row r="138" spans="3:17" x14ac:dyDescent="0.2">
      <c r="C138" s="74"/>
      <c r="D138" s="74"/>
      <c r="E138" s="74"/>
      <c r="F138" s="74"/>
      <c r="G138" s="74"/>
      <c r="H138" s="74"/>
      <c r="I138" s="74"/>
      <c r="J138" s="74"/>
      <c r="M138" s="4"/>
      <c r="N138" s="4"/>
      <c r="O138" s="4"/>
      <c r="P138" s="4"/>
      <c r="Q138" s="4"/>
    </row>
    <row r="139" spans="3:17" x14ac:dyDescent="0.2">
      <c r="C139" s="74"/>
      <c r="D139" s="74"/>
      <c r="E139" s="74"/>
      <c r="F139" s="74"/>
      <c r="G139" s="74"/>
      <c r="H139" s="74"/>
      <c r="I139" s="74"/>
      <c r="J139" s="74"/>
      <c r="M139" s="4"/>
      <c r="N139" s="4"/>
      <c r="O139" s="4"/>
      <c r="P139" s="4"/>
      <c r="Q139" s="4"/>
    </row>
    <row r="140" spans="3:17" x14ac:dyDescent="0.2">
      <c r="C140" s="74"/>
      <c r="D140" s="74"/>
      <c r="E140" s="74"/>
      <c r="F140" s="74"/>
      <c r="G140" s="74"/>
      <c r="H140" s="74"/>
      <c r="I140" s="74"/>
      <c r="J140" s="74"/>
      <c r="M140" s="4"/>
      <c r="N140" s="4"/>
      <c r="O140" s="4"/>
      <c r="P140" s="4"/>
      <c r="Q140" s="4"/>
    </row>
    <row r="141" spans="3:17" x14ac:dyDescent="0.2">
      <c r="C141" s="74"/>
      <c r="D141" s="74"/>
      <c r="E141" s="74"/>
      <c r="F141" s="74"/>
      <c r="G141" s="74"/>
      <c r="H141" s="74"/>
      <c r="I141" s="74"/>
      <c r="J141" s="74"/>
      <c r="M141" s="4"/>
      <c r="N141" s="4"/>
      <c r="O141" s="4"/>
      <c r="P141" s="4"/>
      <c r="Q141" s="4"/>
    </row>
    <row r="142" spans="3:17" x14ac:dyDescent="0.2">
      <c r="C142" s="74"/>
      <c r="D142" s="74"/>
      <c r="E142" s="74"/>
      <c r="F142" s="74"/>
      <c r="G142" s="74"/>
      <c r="H142" s="74"/>
      <c r="I142" s="74"/>
      <c r="J142" s="74"/>
      <c r="M142" s="4"/>
      <c r="N142" s="4"/>
      <c r="O142" s="4"/>
      <c r="P142" s="4"/>
      <c r="Q142" s="4"/>
    </row>
    <row r="143" spans="3:17" x14ac:dyDescent="0.2">
      <c r="C143" s="74"/>
      <c r="D143" s="74"/>
      <c r="E143" s="74"/>
      <c r="F143" s="74"/>
      <c r="G143" s="74"/>
      <c r="H143" s="74"/>
      <c r="I143" s="74"/>
      <c r="J143" s="74"/>
      <c r="M143" s="4"/>
      <c r="N143" s="4"/>
      <c r="O143" s="4"/>
      <c r="P143" s="4"/>
      <c r="Q143" s="4"/>
    </row>
    <row r="144" spans="3:17" x14ac:dyDescent="0.2">
      <c r="C144" s="74"/>
      <c r="D144" s="74"/>
      <c r="E144" s="74"/>
      <c r="F144" s="74"/>
      <c r="G144" s="74"/>
      <c r="H144" s="74"/>
      <c r="I144" s="74"/>
      <c r="J144" s="74"/>
      <c r="M144" s="4"/>
      <c r="N144" s="4"/>
      <c r="O144" s="4"/>
      <c r="P144" s="4"/>
      <c r="Q144" s="4"/>
    </row>
    <row r="145" spans="3:17" x14ac:dyDescent="0.2">
      <c r="C145" s="74"/>
      <c r="D145" s="74"/>
      <c r="E145" s="74"/>
      <c r="F145" s="74"/>
      <c r="G145" s="74"/>
      <c r="H145" s="74"/>
      <c r="I145" s="74"/>
      <c r="J145" s="74"/>
      <c r="M145" s="4"/>
      <c r="N145" s="4"/>
      <c r="O145" s="4"/>
      <c r="P145" s="4"/>
      <c r="Q145" s="4"/>
    </row>
    <row r="146" spans="3:17" x14ac:dyDescent="0.2">
      <c r="C146" s="74"/>
      <c r="D146" s="74"/>
      <c r="E146" s="74"/>
      <c r="F146" s="74"/>
      <c r="G146" s="74"/>
      <c r="H146" s="74"/>
      <c r="I146" s="74"/>
      <c r="J146" s="74"/>
      <c r="M146" s="4"/>
      <c r="N146" s="4"/>
      <c r="O146" s="4"/>
      <c r="P146" s="4"/>
      <c r="Q146" s="4"/>
    </row>
    <row r="147" spans="3:17" x14ac:dyDescent="0.2">
      <c r="C147" s="74"/>
      <c r="D147" s="74"/>
      <c r="E147" s="74"/>
      <c r="F147" s="74"/>
      <c r="G147" s="74"/>
      <c r="H147" s="74"/>
      <c r="I147" s="74"/>
      <c r="J147" s="74"/>
      <c r="M147" s="4"/>
      <c r="N147" s="4"/>
      <c r="O147" s="4"/>
      <c r="P147" s="4"/>
      <c r="Q147" s="4"/>
    </row>
    <row r="148" spans="3:17" x14ac:dyDescent="0.2">
      <c r="C148" s="74"/>
      <c r="D148" s="74"/>
      <c r="E148" s="74"/>
      <c r="F148" s="74"/>
      <c r="G148" s="74"/>
      <c r="H148" s="74"/>
      <c r="I148" s="74"/>
      <c r="J148" s="74"/>
      <c r="M148" s="4"/>
      <c r="N148" s="4"/>
      <c r="O148" s="4"/>
      <c r="P148" s="4"/>
      <c r="Q148" s="4"/>
    </row>
    <row r="149" spans="3:17" x14ac:dyDescent="0.2">
      <c r="C149" s="74"/>
      <c r="D149" s="74"/>
      <c r="E149" s="74"/>
      <c r="F149" s="74"/>
      <c r="G149" s="74"/>
      <c r="H149" s="74"/>
      <c r="I149" s="74"/>
      <c r="J149" s="74"/>
      <c r="M149" s="4"/>
      <c r="N149" s="4"/>
      <c r="O149" s="4"/>
      <c r="P149" s="4"/>
      <c r="Q149" s="4"/>
    </row>
    <row r="150" spans="3:17" x14ac:dyDescent="0.2">
      <c r="C150" s="74"/>
      <c r="D150" s="74"/>
      <c r="E150" s="74"/>
      <c r="F150" s="74"/>
      <c r="G150" s="74"/>
      <c r="H150" s="74"/>
      <c r="I150" s="74"/>
      <c r="J150" s="74"/>
      <c r="M150" s="4"/>
      <c r="N150" s="4"/>
      <c r="O150" s="4"/>
      <c r="P150" s="4"/>
      <c r="Q150" s="4"/>
    </row>
    <row r="151" spans="3:17" x14ac:dyDescent="0.2">
      <c r="C151" s="74"/>
      <c r="D151" s="74"/>
      <c r="E151" s="74"/>
      <c r="F151" s="74"/>
      <c r="G151" s="74"/>
      <c r="H151" s="74"/>
      <c r="I151" s="74"/>
      <c r="J151" s="74"/>
      <c r="M151" s="4"/>
      <c r="N151" s="4"/>
      <c r="O151" s="4"/>
      <c r="P151" s="4"/>
      <c r="Q151" s="4"/>
    </row>
    <row r="152" spans="3:17" x14ac:dyDescent="0.2">
      <c r="C152" s="74"/>
      <c r="D152" s="74"/>
      <c r="E152" s="74"/>
      <c r="F152" s="74"/>
      <c r="G152" s="74"/>
      <c r="H152" s="74"/>
      <c r="I152" s="74"/>
      <c r="J152" s="74"/>
      <c r="M152" s="4"/>
      <c r="N152" s="4"/>
      <c r="O152" s="4"/>
      <c r="P152" s="4"/>
      <c r="Q152" s="4"/>
    </row>
    <row r="153" spans="3:17" x14ac:dyDescent="0.2">
      <c r="C153" s="74"/>
      <c r="D153" s="74"/>
      <c r="E153" s="74"/>
      <c r="F153" s="74"/>
      <c r="G153" s="74"/>
      <c r="H153" s="74"/>
      <c r="I153" s="74"/>
      <c r="J153" s="74"/>
      <c r="M153" s="4"/>
      <c r="N153" s="4"/>
      <c r="O153" s="4"/>
      <c r="P153" s="4"/>
      <c r="Q153" s="4"/>
    </row>
    <row r="154" spans="3:17" x14ac:dyDescent="0.2">
      <c r="C154" s="74"/>
      <c r="D154" s="74"/>
      <c r="E154" s="74"/>
      <c r="F154" s="74"/>
      <c r="G154" s="74"/>
      <c r="H154" s="74"/>
      <c r="I154" s="74"/>
      <c r="J154" s="74"/>
      <c r="M154" s="4"/>
      <c r="N154" s="4"/>
      <c r="O154" s="4"/>
      <c r="P154" s="4"/>
      <c r="Q154" s="4"/>
    </row>
    <row r="155" spans="3:17" x14ac:dyDescent="0.2">
      <c r="C155" s="74"/>
      <c r="D155" s="74"/>
      <c r="E155" s="74"/>
      <c r="F155" s="74"/>
      <c r="G155" s="74"/>
      <c r="H155" s="74"/>
      <c r="I155" s="74"/>
      <c r="J155" s="74"/>
      <c r="M155" s="4"/>
      <c r="N155" s="4"/>
      <c r="O155" s="4"/>
      <c r="P155" s="4"/>
      <c r="Q155" s="4"/>
    </row>
    <row r="156" spans="3:17" x14ac:dyDescent="0.2">
      <c r="C156" s="74"/>
      <c r="D156" s="74"/>
      <c r="E156" s="74"/>
      <c r="F156" s="74"/>
      <c r="G156" s="74"/>
      <c r="H156" s="74"/>
      <c r="I156" s="74"/>
      <c r="J156" s="74"/>
      <c r="M156" s="4"/>
      <c r="N156" s="4"/>
      <c r="O156" s="4"/>
      <c r="P156" s="4"/>
      <c r="Q156" s="4"/>
    </row>
    <row r="157" spans="3:17" x14ac:dyDescent="0.2">
      <c r="C157" s="74"/>
      <c r="D157" s="74"/>
      <c r="E157" s="74"/>
      <c r="F157" s="74"/>
      <c r="G157" s="74"/>
      <c r="H157" s="74"/>
      <c r="I157" s="74"/>
      <c r="J157" s="74"/>
      <c r="M157" s="4"/>
      <c r="N157" s="4"/>
      <c r="O157" s="4"/>
      <c r="P157" s="4"/>
      <c r="Q157" s="4"/>
    </row>
    <row r="158" spans="3:17" x14ac:dyDescent="0.2">
      <c r="C158" s="74"/>
      <c r="D158" s="74"/>
      <c r="E158" s="74"/>
      <c r="F158" s="74"/>
      <c r="G158" s="74"/>
      <c r="H158" s="74"/>
      <c r="I158" s="74"/>
      <c r="J158" s="74"/>
      <c r="M158" s="4"/>
      <c r="N158" s="4"/>
      <c r="O158" s="4"/>
      <c r="P158" s="4"/>
      <c r="Q158" s="4"/>
    </row>
    <row r="159" spans="3:17" x14ac:dyDescent="0.2">
      <c r="C159" s="74"/>
      <c r="D159" s="74"/>
      <c r="E159" s="74"/>
      <c r="F159" s="74"/>
      <c r="G159" s="74"/>
      <c r="H159" s="74"/>
      <c r="I159" s="74"/>
      <c r="J159" s="74"/>
      <c r="M159" s="4"/>
      <c r="N159" s="4"/>
      <c r="O159" s="4"/>
      <c r="P159" s="4"/>
      <c r="Q159" s="4"/>
    </row>
    <row r="160" spans="3:17" x14ac:dyDescent="0.2">
      <c r="C160" s="74"/>
      <c r="D160" s="74"/>
      <c r="E160" s="74"/>
      <c r="F160" s="74"/>
      <c r="G160" s="74"/>
      <c r="H160" s="74"/>
      <c r="I160" s="74"/>
      <c r="J160" s="74"/>
      <c r="M160" s="4"/>
      <c r="N160" s="4"/>
      <c r="O160" s="4"/>
      <c r="P160" s="4"/>
      <c r="Q160" s="4"/>
    </row>
    <row r="161" spans="3:17" x14ac:dyDescent="0.2">
      <c r="C161" s="74"/>
      <c r="D161" s="74"/>
      <c r="E161" s="74"/>
      <c r="F161" s="74"/>
      <c r="G161" s="74"/>
      <c r="H161" s="74"/>
      <c r="I161" s="74"/>
      <c r="J161" s="74"/>
      <c r="M161" s="4"/>
      <c r="N161" s="4"/>
      <c r="O161" s="4"/>
      <c r="P161" s="4"/>
      <c r="Q161" s="4"/>
    </row>
    <row r="162" spans="3:17" x14ac:dyDescent="0.2">
      <c r="C162" s="74"/>
      <c r="D162" s="74"/>
      <c r="E162" s="74"/>
      <c r="F162" s="74"/>
      <c r="G162" s="74"/>
      <c r="H162" s="74"/>
      <c r="I162" s="74"/>
      <c r="J162" s="74"/>
      <c r="M162" s="4"/>
      <c r="N162" s="4"/>
      <c r="O162" s="4"/>
      <c r="P162" s="4"/>
      <c r="Q162" s="4"/>
    </row>
    <row r="163" spans="3:17" x14ac:dyDescent="0.2">
      <c r="C163" s="74"/>
      <c r="D163" s="74"/>
      <c r="E163" s="74"/>
      <c r="F163" s="74"/>
      <c r="G163" s="74"/>
      <c r="H163" s="74"/>
      <c r="I163" s="74"/>
      <c r="J163" s="74"/>
      <c r="M163" s="4"/>
      <c r="N163" s="4"/>
      <c r="O163" s="4"/>
      <c r="P163" s="4"/>
      <c r="Q163" s="4"/>
    </row>
    <row r="164" spans="3:17" x14ac:dyDescent="0.2">
      <c r="C164" s="74"/>
      <c r="D164" s="74"/>
      <c r="E164" s="74"/>
      <c r="F164" s="74"/>
      <c r="G164" s="74"/>
      <c r="H164" s="74"/>
      <c r="I164" s="74"/>
      <c r="J164" s="74"/>
      <c r="M164" s="4"/>
      <c r="N164" s="4"/>
      <c r="O164" s="4"/>
      <c r="P164" s="4"/>
      <c r="Q164" s="4"/>
    </row>
    <row r="165" spans="3:17" x14ac:dyDescent="0.2">
      <c r="C165" s="74"/>
      <c r="D165" s="74"/>
      <c r="E165" s="74"/>
      <c r="F165" s="74"/>
      <c r="G165" s="74"/>
      <c r="H165" s="74"/>
      <c r="I165" s="74"/>
      <c r="J165" s="74"/>
      <c r="M165" s="4"/>
      <c r="N165" s="4"/>
      <c r="O165" s="4"/>
      <c r="P165" s="4"/>
      <c r="Q165" s="4"/>
    </row>
    <row r="166" spans="3:17" x14ac:dyDescent="0.2">
      <c r="C166" s="74"/>
      <c r="D166" s="74"/>
      <c r="E166" s="74"/>
      <c r="F166" s="74"/>
      <c r="G166" s="74"/>
      <c r="H166" s="74"/>
      <c r="I166" s="74"/>
      <c r="J166" s="74"/>
      <c r="M166" s="4"/>
      <c r="N166" s="4"/>
      <c r="O166" s="4"/>
      <c r="P166" s="4"/>
      <c r="Q166" s="4"/>
    </row>
    <row r="167" spans="3:17" x14ac:dyDescent="0.2">
      <c r="C167" s="74"/>
      <c r="D167" s="74"/>
      <c r="E167" s="74"/>
      <c r="F167" s="74"/>
      <c r="G167" s="74"/>
      <c r="H167" s="74"/>
      <c r="I167" s="74"/>
      <c r="J167" s="74"/>
      <c r="M167" s="4"/>
      <c r="N167" s="4"/>
      <c r="O167" s="4"/>
      <c r="P167" s="4"/>
      <c r="Q167" s="4"/>
    </row>
    <row r="168" spans="3:17" x14ac:dyDescent="0.2">
      <c r="C168" s="74"/>
      <c r="D168" s="74"/>
      <c r="E168" s="74"/>
      <c r="F168" s="74"/>
      <c r="G168" s="74"/>
      <c r="H168" s="74"/>
      <c r="I168" s="74"/>
      <c r="J168" s="74"/>
      <c r="M168" s="4"/>
      <c r="N168" s="4"/>
      <c r="O168" s="4"/>
      <c r="P168" s="4"/>
      <c r="Q168" s="4"/>
    </row>
    <row r="169" spans="3:17" x14ac:dyDescent="0.2">
      <c r="C169" s="74"/>
      <c r="D169" s="74"/>
      <c r="E169" s="74"/>
      <c r="F169" s="74"/>
      <c r="G169" s="74"/>
      <c r="H169" s="74"/>
      <c r="I169" s="74"/>
      <c r="J169" s="74"/>
      <c r="M169" s="4"/>
      <c r="N169" s="4"/>
      <c r="O169" s="4"/>
      <c r="P169" s="4"/>
      <c r="Q169" s="4"/>
    </row>
    <row r="170" spans="3:17" x14ac:dyDescent="0.2">
      <c r="C170" s="74"/>
      <c r="D170" s="74"/>
      <c r="E170" s="74"/>
      <c r="F170" s="74"/>
      <c r="G170" s="74"/>
      <c r="H170" s="74"/>
      <c r="I170" s="74"/>
      <c r="J170" s="74"/>
      <c r="M170" s="4"/>
      <c r="N170" s="4"/>
      <c r="O170" s="4"/>
      <c r="P170" s="4"/>
      <c r="Q170" s="4"/>
    </row>
    <row r="171" spans="3:17" x14ac:dyDescent="0.2">
      <c r="C171" s="74"/>
      <c r="D171" s="74"/>
      <c r="E171" s="74"/>
      <c r="F171" s="74"/>
      <c r="G171" s="74"/>
      <c r="H171" s="74"/>
      <c r="I171" s="74"/>
      <c r="J171" s="74"/>
      <c r="M171" s="4"/>
      <c r="N171" s="4"/>
      <c r="O171" s="4"/>
      <c r="P171" s="4"/>
      <c r="Q171" s="4"/>
    </row>
    <row r="172" spans="3:17" x14ac:dyDescent="0.2">
      <c r="C172" s="74"/>
      <c r="D172" s="74"/>
      <c r="E172" s="74"/>
      <c r="F172" s="74"/>
      <c r="G172" s="74"/>
      <c r="H172" s="74"/>
      <c r="I172" s="74"/>
      <c r="J172" s="74"/>
      <c r="M172" s="4"/>
      <c r="N172" s="4"/>
      <c r="O172" s="4"/>
      <c r="P172" s="4"/>
      <c r="Q172" s="4"/>
    </row>
    <row r="173" spans="3:17" x14ac:dyDescent="0.2">
      <c r="C173" s="74"/>
      <c r="D173" s="74"/>
      <c r="E173" s="74"/>
      <c r="F173" s="74"/>
      <c r="G173" s="74"/>
      <c r="H173" s="74"/>
      <c r="I173" s="74"/>
      <c r="J173" s="74"/>
      <c r="M173" s="4"/>
      <c r="N173" s="4"/>
      <c r="O173" s="4"/>
      <c r="P173" s="4"/>
      <c r="Q173" s="4"/>
    </row>
    <row r="174" spans="3:17" x14ac:dyDescent="0.2">
      <c r="C174" s="74"/>
      <c r="D174" s="74"/>
      <c r="E174" s="74"/>
      <c r="F174" s="74"/>
      <c r="G174" s="74"/>
      <c r="H174" s="74"/>
      <c r="I174" s="74"/>
      <c r="J174" s="74"/>
      <c r="M174" s="4"/>
      <c r="N174" s="4"/>
      <c r="O174" s="4"/>
      <c r="P174" s="4"/>
      <c r="Q174" s="4"/>
    </row>
    <row r="175" spans="3:17" x14ac:dyDescent="0.2">
      <c r="C175" s="74"/>
      <c r="D175" s="74"/>
      <c r="E175" s="74"/>
      <c r="F175" s="74"/>
      <c r="G175" s="74"/>
      <c r="H175" s="74"/>
      <c r="I175" s="74"/>
      <c r="J175" s="74"/>
      <c r="M175" s="4"/>
      <c r="N175" s="4"/>
      <c r="O175" s="4"/>
      <c r="P175" s="4"/>
      <c r="Q175" s="4"/>
    </row>
    <row r="176" spans="3:17" x14ac:dyDescent="0.2">
      <c r="C176" s="74"/>
      <c r="D176" s="74"/>
      <c r="E176" s="74"/>
      <c r="F176" s="74"/>
      <c r="G176" s="74"/>
      <c r="H176" s="74"/>
      <c r="I176" s="74"/>
      <c r="J176" s="74"/>
      <c r="M176" s="4"/>
      <c r="N176" s="4"/>
      <c r="O176" s="4"/>
      <c r="P176" s="4"/>
      <c r="Q176" s="4"/>
    </row>
    <row r="177" spans="3:17" x14ac:dyDescent="0.2">
      <c r="C177" s="74"/>
      <c r="D177" s="74"/>
      <c r="E177" s="74"/>
      <c r="F177" s="74"/>
      <c r="G177" s="74"/>
      <c r="H177" s="74"/>
      <c r="I177" s="74"/>
      <c r="J177" s="74"/>
      <c r="M177" s="4"/>
      <c r="N177" s="4"/>
      <c r="O177" s="4"/>
      <c r="P177" s="4"/>
      <c r="Q177" s="4"/>
    </row>
    <row r="178" spans="3:17" x14ac:dyDescent="0.2">
      <c r="C178" s="74"/>
      <c r="D178" s="74"/>
      <c r="E178" s="74"/>
      <c r="F178" s="74"/>
      <c r="G178" s="74"/>
      <c r="H178" s="74"/>
      <c r="I178" s="74"/>
      <c r="J178" s="74"/>
      <c r="M178" s="4"/>
      <c r="N178" s="4"/>
      <c r="O178" s="4"/>
      <c r="P178" s="4"/>
      <c r="Q178" s="4"/>
    </row>
    <row r="179" spans="3:17" x14ac:dyDescent="0.2">
      <c r="C179" s="74"/>
      <c r="D179" s="74"/>
      <c r="E179" s="74"/>
      <c r="F179" s="74"/>
      <c r="G179" s="74"/>
      <c r="H179" s="74"/>
      <c r="I179" s="74"/>
      <c r="J179" s="74"/>
      <c r="M179" s="4"/>
      <c r="N179" s="4"/>
      <c r="O179" s="4"/>
      <c r="P179" s="4"/>
      <c r="Q179" s="4"/>
    </row>
    <row r="180" spans="3:17" x14ac:dyDescent="0.2">
      <c r="C180" s="74"/>
      <c r="D180" s="74"/>
      <c r="E180" s="74"/>
      <c r="F180" s="74"/>
      <c r="G180" s="74"/>
      <c r="H180" s="74"/>
      <c r="I180" s="74"/>
      <c r="J180" s="74"/>
      <c r="M180" s="4"/>
      <c r="N180" s="4"/>
      <c r="O180" s="4"/>
      <c r="P180" s="4"/>
      <c r="Q180" s="4"/>
    </row>
    <row r="181" spans="3:17" x14ac:dyDescent="0.2">
      <c r="C181" s="74"/>
      <c r="D181" s="74"/>
      <c r="E181" s="74"/>
      <c r="F181" s="74"/>
      <c r="G181" s="74"/>
      <c r="H181" s="74"/>
      <c r="I181" s="74"/>
      <c r="J181" s="74"/>
      <c r="M181" s="4"/>
      <c r="N181" s="4"/>
      <c r="O181" s="4"/>
      <c r="P181" s="4"/>
      <c r="Q181" s="4"/>
    </row>
    <row r="182" spans="3:17" x14ac:dyDescent="0.2">
      <c r="C182" s="74"/>
      <c r="D182" s="74"/>
      <c r="E182" s="74"/>
      <c r="F182" s="74"/>
      <c r="G182" s="74"/>
      <c r="H182" s="74"/>
      <c r="I182" s="74"/>
      <c r="J182" s="74"/>
      <c r="M182" s="4"/>
      <c r="N182" s="4"/>
      <c r="O182" s="4"/>
      <c r="P182" s="4"/>
      <c r="Q182" s="4"/>
    </row>
    <row r="183" spans="3:17" x14ac:dyDescent="0.2">
      <c r="C183" s="74"/>
      <c r="D183" s="74"/>
      <c r="E183" s="74"/>
      <c r="F183" s="74"/>
      <c r="G183" s="74"/>
      <c r="H183" s="74"/>
      <c r="I183" s="74"/>
      <c r="J183" s="74"/>
      <c r="M183" s="4"/>
      <c r="N183" s="4"/>
      <c r="O183" s="4"/>
      <c r="P183" s="4"/>
      <c r="Q183" s="4"/>
    </row>
    <row r="184" spans="3:17" x14ac:dyDescent="0.2">
      <c r="C184" s="74"/>
      <c r="D184" s="74"/>
      <c r="E184" s="74"/>
      <c r="F184" s="74"/>
      <c r="G184" s="74"/>
      <c r="H184" s="74"/>
      <c r="I184" s="74"/>
      <c r="J184" s="74"/>
      <c r="M184" s="4"/>
      <c r="N184" s="4"/>
      <c r="O184" s="4"/>
      <c r="P184" s="4"/>
      <c r="Q184" s="4"/>
    </row>
    <row r="185" spans="3:17" x14ac:dyDescent="0.2">
      <c r="C185" s="74"/>
      <c r="D185" s="74"/>
      <c r="E185" s="74"/>
      <c r="F185" s="74"/>
      <c r="G185" s="74"/>
      <c r="H185" s="74"/>
      <c r="I185" s="74"/>
      <c r="J185" s="74"/>
      <c r="M185" s="4"/>
      <c r="N185" s="4"/>
      <c r="O185" s="4"/>
      <c r="P185" s="4"/>
      <c r="Q185" s="4"/>
    </row>
    <row r="186" spans="3:17" x14ac:dyDescent="0.2">
      <c r="C186" s="74"/>
      <c r="D186" s="74"/>
      <c r="E186" s="74"/>
      <c r="F186" s="74"/>
      <c r="G186" s="74"/>
      <c r="H186" s="74"/>
      <c r="I186" s="74"/>
      <c r="J186" s="74"/>
      <c r="M186" s="4"/>
      <c r="N186" s="4"/>
      <c r="O186" s="4"/>
      <c r="P186" s="4"/>
      <c r="Q186" s="4"/>
    </row>
    <row r="187" spans="3:17" x14ac:dyDescent="0.2">
      <c r="C187" s="74"/>
      <c r="D187" s="74"/>
      <c r="E187" s="74"/>
      <c r="F187" s="74"/>
      <c r="G187" s="74"/>
      <c r="H187" s="74"/>
      <c r="I187" s="74"/>
      <c r="J187" s="74"/>
      <c r="M187" s="4"/>
      <c r="N187" s="4"/>
      <c r="O187" s="4"/>
      <c r="P187" s="4"/>
      <c r="Q187" s="4"/>
    </row>
    <row r="188" spans="3:17" x14ac:dyDescent="0.2">
      <c r="C188" s="74"/>
      <c r="D188" s="74"/>
      <c r="E188" s="74"/>
      <c r="F188" s="74"/>
      <c r="G188" s="74"/>
      <c r="H188" s="74"/>
      <c r="I188" s="74"/>
      <c r="J188" s="74"/>
      <c r="M188" s="4"/>
      <c r="N188" s="4"/>
      <c r="O188" s="4"/>
      <c r="P188" s="4"/>
      <c r="Q188" s="4"/>
    </row>
    <row r="189" spans="3:17" x14ac:dyDescent="0.2">
      <c r="C189" s="74"/>
      <c r="D189" s="74"/>
      <c r="E189" s="74"/>
      <c r="F189" s="74"/>
      <c r="G189" s="74"/>
      <c r="H189" s="74"/>
      <c r="I189" s="74"/>
      <c r="J189" s="74"/>
      <c r="M189" s="4"/>
      <c r="N189" s="4"/>
      <c r="O189" s="4"/>
      <c r="P189" s="4"/>
      <c r="Q189" s="4"/>
    </row>
    <row r="190" spans="3:17" x14ac:dyDescent="0.2">
      <c r="M190" s="4"/>
      <c r="N190" s="4"/>
      <c r="O190" s="4"/>
      <c r="P190" s="4"/>
      <c r="Q190" s="4"/>
    </row>
    <row r="191" spans="3:17" x14ac:dyDescent="0.2">
      <c r="M191" s="4"/>
      <c r="N191" s="4"/>
      <c r="O191" s="4"/>
      <c r="P191" s="4"/>
      <c r="Q191" s="4"/>
    </row>
    <row r="192" spans="3:17" x14ac:dyDescent="0.2">
      <c r="M192" s="4"/>
      <c r="N192" s="4"/>
      <c r="O192" s="4"/>
      <c r="P192" s="4"/>
      <c r="Q192" s="4"/>
    </row>
    <row r="193" spans="13:17" x14ac:dyDescent="0.2">
      <c r="M193" s="4"/>
      <c r="N193" s="4"/>
      <c r="O193" s="4"/>
      <c r="P193" s="4"/>
      <c r="Q193" s="4"/>
    </row>
    <row r="194" spans="13:17" x14ac:dyDescent="0.2">
      <c r="M194" s="4"/>
      <c r="N194" s="4"/>
      <c r="O194" s="4"/>
      <c r="P194" s="4"/>
      <c r="Q194" s="4"/>
    </row>
    <row r="195" spans="13:17" x14ac:dyDescent="0.2">
      <c r="M195" s="4"/>
      <c r="N195" s="4"/>
      <c r="O195" s="4"/>
      <c r="P195" s="4"/>
      <c r="Q195" s="4"/>
    </row>
    <row r="196" spans="13:17" x14ac:dyDescent="0.2">
      <c r="M196" s="4"/>
      <c r="N196" s="4"/>
      <c r="O196" s="4"/>
      <c r="P196" s="4"/>
      <c r="Q196" s="4"/>
    </row>
    <row r="197" spans="13:17" x14ac:dyDescent="0.2">
      <c r="M197" s="4"/>
      <c r="N197" s="4"/>
      <c r="O197" s="4"/>
      <c r="P197" s="4"/>
      <c r="Q197" s="4"/>
    </row>
    <row r="198" spans="13:17" x14ac:dyDescent="0.2">
      <c r="M198" s="4"/>
      <c r="N198" s="4"/>
      <c r="O198" s="4"/>
      <c r="P198" s="4"/>
      <c r="Q198" s="4"/>
    </row>
    <row r="199" spans="13:17" x14ac:dyDescent="0.2">
      <c r="M199" s="4"/>
      <c r="N199" s="4"/>
      <c r="O199" s="4"/>
      <c r="P199" s="4"/>
      <c r="Q199" s="4"/>
    </row>
    <row r="200" spans="13:17" x14ac:dyDescent="0.2">
      <c r="M200" s="4"/>
      <c r="N200" s="4"/>
      <c r="O200" s="4"/>
      <c r="P200" s="4"/>
      <c r="Q200" s="4"/>
    </row>
    <row r="201" spans="13:17" x14ac:dyDescent="0.2">
      <c r="M201" s="4"/>
      <c r="N201" s="4"/>
      <c r="O201" s="4"/>
      <c r="P201" s="4"/>
      <c r="Q201" s="4"/>
    </row>
    <row r="202" spans="13:17" x14ac:dyDescent="0.2">
      <c r="M202" s="4"/>
      <c r="N202" s="4"/>
      <c r="O202" s="4"/>
      <c r="P202" s="4"/>
      <c r="Q202" s="4"/>
    </row>
    <row r="203" spans="13:17" x14ac:dyDescent="0.2">
      <c r="M203" s="4"/>
      <c r="N203" s="4"/>
      <c r="O203" s="4"/>
      <c r="P203" s="4"/>
      <c r="Q203" s="4"/>
    </row>
    <row r="204" spans="13:17" x14ac:dyDescent="0.2">
      <c r="M204" s="4"/>
      <c r="N204" s="4"/>
      <c r="O204" s="4"/>
      <c r="P204" s="4"/>
      <c r="Q204" s="4"/>
    </row>
    <row r="205" spans="13:17" x14ac:dyDescent="0.2">
      <c r="M205" s="4"/>
      <c r="N205" s="4"/>
      <c r="O205" s="4"/>
      <c r="P205" s="4"/>
      <c r="Q205" s="4"/>
    </row>
    <row r="206" spans="13:17" x14ac:dyDescent="0.2">
      <c r="M206" s="4"/>
      <c r="N206" s="4"/>
      <c r="O206" s="4"/>
      <c r="P206" s="4"/>
      <c r="Q206" s="4"/>
    </row>
    <row r="207" spans="13:17" x14ac:dyDescent="0.2">
      <c r="M207" s="4"/>
      <c r="N207" s="4"/>
      <c r="O207" s="4"/>
      <c r="P207" s="4"/>
      <c r="Q207" s="4"/>
    </row>
    <row r="208" spans="13:17" x14ac:dyDescent="0.2">
      <c r="M208" s="4"/>
      <c r="N208" s="4"/>
      <c r="O208" s="4"/>
      <c r="P208" s="4"/>
      <c r="Q208" s="4"/>
    </row>
    <row r="209" spans="13:17" x14ac:dyDescent="0.2">
      <c r="M209" s="4"/>
      <c r="N209" s="4"/>
      <c r="O209" s="4"/>
      <c r="P209" s="4"/>
      <c r="Q209" s="4"/>
    </row>
    <row r="210" spans="13:17" x14ac:dyDescent="0.2">
      <c r="M210" s="4"/>
      <c r="N210" s="4"/>
      <c r="O210" s="4"/>
      <c r="P210" s="4"/>
      <c r="Q210" s="4"/>
    </row>
    <row r="211" spans="13:17" x14ac:dyDescent="0.2">
      <c r="M211" s="4"/>
      <c r="N211" s="4"/>
      <c r="O211" s="4"/>
      <c r="P211" s="4"/>
      <c r="Q211" s="4"/>
    </row>
    <row r="212" spans="13:17" x14ac:dyDescent="0.2">
      <c r="M212" s="4"/>
      <c r="N212" s="4"/>
      <c r="O212" s="4"/>
      <c r="P212" s="4"/>
      <c r="Q212" s="4"/>
    </row>
    <row r="213" spans="13:17" x14ac:dyDescent="0.2">
      <c r="M213" s="4"/>
      <c r="N213" s="4"/>
      <c r="O213" s="4"/>
      <c r="P213" s="4"/>
      <c r="Q213" s="4"/>
    </row>
    <row r="214" spans="13:17" x14ac:dyDescent="0.2">
      <c r="M214" s="4"/>
      <c r="N214" s="4"/>
      <c r="O214" s="4"/>
      <c r="P214" s="4"/>
      <c r="Q214" s="4"/>
    </row>
    <row r="215" spans="13:17" x14ac:dyDescent="0.2">
      <c r="M215" s="4"/>
      <c r="N215" s="4"/>
      <c r="O215" s="4"/>
      <c r="P215" s="4"/>
      <c r="Q215" s="4"/>
    </row>
    <row r="216" spans="13:17" x14ac:dyDescent="0.2">
      <c r="M216" s="4"/>
      <c r="N216" s="4"/>
      <c r="O216" s="4"/>
      <c r="P216" s="4"/>
      <c r="Q216" s="4"/>
    </row>
    <row r="217" spans="13:17" x14ac:dyDescent="0.2">
      <c r="M217" s="4"/>
      <c r="N217" s="4"/>
      <c r="O217" s="4"/>
      <c r="P217" s="4"/>
      <c r="Q217" s="4"/>
    </row>
    <row r="218" spans="13:17" x14ac:dyDescent="0.2">
      <c r="M218" s="4"/>
      <c r="N218" s="4"/>
      <c r="O218" s="4"/>
      <c r="P218" s="4"/>
      <c r="Q218" s="4"/>
    </row>
    <row r="219" spans="13:17" x14ac:dyDescent="0.2">
      <c r="M219" s="4"/>
      <c r="N219" s="4"/>
      <c r="O219" s="4"/>
      <c r="P219" s="4"/>
      <c r="Q219" s="4"/>
    </row>
    <row r="220" spans="13:17" x14ac:dyDescent="0.2">
      <c r="M220" s="4"/>
      <c r="N220" s="4"/>
      <c r="O220" s="4"/>
      <c r="P220" s="4"/>
      <c r="Q220" s="4"/>
    </row>
    <row r="221" spans="13:17" x14ac:dyDescent="0.2">
      <c r="M221" s="4"/>
      <c r="N221" s="4"/>
      <c r="O221" s="4"/>
      <c r="P221" s="4"/>
      <c r="Q221" s="4"/>
    </row>
    <row r="222" spans="13:17" x14ac:dyDescent="0.2">
      <c r="M222" s="4"/>
      <c r="N222" s="4"/>
      <c r="O222" s="4"/>
      <c r="P222" s="4"/>
      <c r="Q222" s="4"/>
    </row>
    <row r="223" spans="13:17" x14ac:dyDescent="0.2">
      <c r="M223" s="4"/>
      <c r="N223" s="4"/>
      <c r="O223" s="4"/>
      <c r="P223" s="4"/>
      <c r="Q223" s="4"/>
    </row>
    <row r="224" spans="13:17" x14ac:dyDescent="0.2">
      <c r="M224" s="4"/>
      <c r="N224" s="4"/>
      <c r="O224" s="4"/>
      <c r="P224" s="4"/>
      <c r="Q224" s="4"/>
    </row>
    <row r="225" spans="13:17" x14ac:dyDescent="0.2">
      <c r="M225" s="4"/>
      <c r="N225" s="4"/>
      <c r="O225" s="4"/>
      <c r="P225" s="4"/>
      <c r="Q225" s="4"/>
    </row>
    <row r="226" spans="13:17" x14ac:dyDescent="0.2">
      <c r="M226" s="4"/>
      <c r="N226" s="4"/>
      <c r="O226" s="4"/>
      <c r="P226" s="4"/>
      <c r="Q226" s="4"/>
    </row>
    <row r="227" spans="13:17" x14ac:dyDescent="0.2">
      <c r="M227" s="4"/>
      <c r="N227" s="4"/>
      <c r="O227" s="4"/>
      <c r="P227" s="4"/>
      <c r="Q227" s="4"/>
    </row>
    <row r="228" spans="13:17" x14ac:dyDescent="0.2">
      <c r="M228" s="4"/>
      <c r="N228" s="4"/>
      <c r="O228" s="4"/>
      <c r="P228" s="4"/>
      <c r="Q228" s="4"/>
    </row>
    <row r="229" spans="13:17" x14ac:dyDescent="0.2">
      <c r="M229" s="4"/>
      <c r="N229" s="4"/>
      <c r="O229" s="4"/>
      <c r="P229" s="4"/>
      <c r="Q229" s="4"/>
    </row>
    <row r="230" spans="13:17" x14ac:dyDescent="0.2">
      <c r="M230" s="4"/>
      <c r="N230" s="4"/>
      <c r="O230" s="4"/>
      <c r="P230" s="4"/>
      <c r="Q230" s="4"/>
    </row>
    <row r="231" spans="13:17" x14ac:dyDescent="0.2">
      <c r="M231" s="4"/>
      <c r="N231" s="4"/>
      <c r="O231" s="4"/>
      <c r="P231" s="4"/>
      <c r="Q231" s="4"/>
    </row>
    <row r="232" spans="13:17" x14ac:dyDescent="0.2">
      <c r="M232" s="4"/>
      <c r="N232" s="4"/>
      <c r="O232" s="4"/>
      <c r="P232" s="4"/>
      <c r="Q232" s="4"/>
    </row>
    <row r="233" spans="13:17" x14ac:dyDescent="0.2">
      <c r="M233" s="4"/>
      <c r="N233" s="4"/>
      <c r="O233" s="4"/>
      <c r="P233" s="4"/>
      <c r="Q233" s="4"/>
    </row>
    <row r="234" spans="13:17" x14ac:dyDescent="0.2">
      <c r="M234" s="4"/>
      <c r="N234" s="4"/>
      <c r="O234" s="4"/>
      <c r="P234" s="4"/>
      <c r="Q234" s="4"/>
    </row>
    <row r="235" spans="13:17" x14ac:dyDescent="0.2">
      <c r="M235" s="4"/>
      <c r="N235" s="4"/>
      <c r="O235" s="4"/>
      <c r="P235" s="4"/>
      <c r="Q235" s="4"/>
    </row>
    <row r="236" spans="13:17" x14ac:dyDescent="0.2">
      <c r="M236" s="4"/>
      <c r="N236" s="4"/>
      <c r="O236" s="4"/>
      <c r="P236" s="4"/>
      <c r="Q236" s="4"/>
    </row>
    <row r="237" spans="13:17" x14ac:dyDescent="0.2">
      <c r="M237" s="4"/>
      <c r="N237" s="4"/>
      <c r="O237" s="4"/>
      <c r="P237" s="4"/>
      <c r="Q237" s="4"/>
    </row>
    <row r="238" spans="13:17" x14ac:dyDescent="0.2">
      <c r="M238" s="4"/>
      <c r="N238" s="4"/>
      <c r="O238" s="4"/>
      <c r="P238" s="4"/>
      <c r="Q238" s="4"/>
    </row>
    <row r="239" spans="13:17" x14ac:dyDescent="0.2">
      <c r="M239" s="4"/>
      <c r="N239" s="4"/>
      <c r="O239" s="4"/>
      <c r="P239" s="4"/>
      <c r="Q239" s="4"/>
    </row>
    <row r="240" spans="13:17" x14ac:dyDescent="0.2">
      <c r="M240" s="4"/>
      <c r="N240" s="4"/>
      <c r="O240" s="4"/>
      <c r="P240" s="4"/>
      <c r="Q240" s="4"/>
    </row>
    <row r="241" spans="13:17" x14ac:dyDescent="0.2">
      <c r="M241" s="4"/>
      <c r="N241" s="4"/>
      <c r="O241" s="4"/>
      <c r="P241" s="4"/>
      <c r="Q241" s="4"/>
    </row>
    <row r="242" spans="13:17" x14ac:dyDescent="0.2">
      <c r="M242" s="4"/>
      <c r="N242" s="4"/>
      <c r="O242" s="4"/>
      <c r="P242" s="4"/>
      <c r="Q242" s="4"/>
    </row>
    <row r="243" spans="13:17" x14ac:dyDescent="0.2">
      <c r="M243" s="4"/>
      <c r="N243" s="4"/>
      <c r="O243" s="4"/>
      <c r="P243" s="4"/>
      <c r="Q243" s="4"/>
    </row>
    <row r="244" spans="13:17" x14ac:dyDescent="0.2">
      <c r="M244" s="4"/>
      <c r="N244" s="4"/>
      <c r="O244" s="4"/>
      <c r="P244" s="4"/>
      <c r="Q244" s="4"/>
    </row>
    <row r="245" spans="13:17" x14ac:dyDescent="0.2">
      <c r="M245" s="4"/>
      <c r="N245" s="4"/>
      <c r="O245" s="4"/>
      <c r="P245" s="4"/>
      <c r="Q245" s="4"/>
    </row>
    <row r="246" spans="13:17" x14ac:dyDescent="0.2">
      <c r="M246" s="4"/>
      <c r="N246" s="4"/>
      <c r="O246" s="4"/>
      <c r="P246" s="4"/>
      <c r="Q246" s="4"/>
    </row>
    <row r="247" spans="13:17" x14ac:dyDescent="0.2">
      <c r="M247" s="4"/>
      <c r="N247" s="4"/>
      <c r="O247" s="4"/>
      <c r="P247" s="4"/>
      <c r="Q247" s="4"/>
    </row>
    <row r="248" spans="13:17" x14ac:dyDescent="0.2">
      <c r="M248" s="4"/>
      <c r="N248" s="4"/>
      <c r="O248" s="4"/>
      <c r="P248" s="4"/>
      <c r="Q248" s="4"/>
    </row>
    <row r="249" spans="13:17" x14ac:dyDescent="0.2">
      <c r="M249" s="4"/>
      <c r="N249" s="4"/>
      <c r="O249" s="4"/>
      <c r="P249" s="4"/>
      <c r="Q249" s="4"/>
    </row>
    <row r="250" spans="13:17" x14ac:dyDescent="0.2">
      <c r="M250" s="4"/>
      <c r="N250" s="4"/>
      <c r="O250" s="4"/>
      <c r="P250" s="4"/>
      <c r="Q250" s="4"/>
    </row>
    <row r="251" spans="13:17" x14ac:dyDescent="0.2">
      <c r="M251" s="4"/>
      <c r="N251" s="4"/>
      <c r="O251" s="4"/>
      <c r="P251" s="4"/>
      <c r="Q251" s="4"/>
    </row>
    <row r="252" spans="13:17" x14ac:dyDescent="0.2">
      <c r="M252" s="4"/>
      <c r="N252" s="4"/>
      <c r="O252" s="4"/>
      <c r="P252" s="4"/>
      <c r="Q252" s="4"/>
    </row>
    <row r="253" spans="13:17" x14ac:dyDescent="0.2">
      <c r="M253" s="4"/>
      <c r="N253" s="4"/>
      <c r="O253" s="4"/>
      <c r="P253" s="4"/>
      <c r="Q253" s="4"/>
    </row>
    <row r="254" spans="13:17" x14ac:dyDescent="0.2">
      <c r="M254" s="4"/>
      <c r="N254" s="4"/>
      <c r="O254" s="4"/>
      <c r="P254" s="4"/>
      <c r="Q254" s="4"/>
    </row>
    <row r="255" spans="13:17" x14ac:dyDescent="0.2">
      <c r="M255" s="4"/>
      <c r="N255" s="4"/>
      <c r="O255" s="4"/>
      <c r="P255" s="4"/>
      <c r="Q255" s="4"/>
    </row>
    <row r="256" spans="13:17" x14ac:dyDescent="0.2">
      <c r="M256" s="4"/>
      <c r="N256" s="4"/>
      <c r="O256" s="4"/>
      <c r="P256" s="4"/>
      <c r="Q256" s="4"/>
    </row>
    <row r="257" spans="13:17" x14ac:dyDescent="0.2">
      <c r="M257" s="4"/>
      <c r="N257" s="4"/>
      <c r="O257" s="4"/>
      <c r="P257" s="4"/>
      <c r="Q257" s="4"/>
    </row>
    <row r="258" spans="13:17" x14ac:dyDescent="0.2">
      <c r="M258" s="4"/>
      <c r="N258" s="4"/>
      <c r="O258" s="4"/>
      <c r="P258" s="4"/>
      <c r="Q258" s="4"/>
    </row>
    <row r="259" spans="13:17" x14ac:dyDescent="0.2">
      <c r="M259" s="4"/>
      <c r="N259" s="4"/>
      <c r="O259" s="4"/>
      <c r="P259" s="4"/>
      <c r="Q259" s="4"/>
    </row>
    <row r="260" spans="13:17" x14ac:dyDescent="0.2">
      <c r="M260" s="4"/>
      <c r="N260" s="4"/>
      <c r="O260" s="4"/>
      <c r="P260" s="4"/>
      <c r="Q260" s="4"/>
    </row>
    <row r="261" spans="13:17" x14ac:dyDescent="0.2">
      <c r="M261" s="4"/>
      <c r="N261" s="4"/>
      <c r="O261" s="4"/>
      <c r="P261" s="4"/>
      <c r="Q261" s="4"/>
    </row>
    <row r="262" spans="13:17" x14ac:dyDescent="0.2">
      <c r="M262" s="4"/>
      <c r="N262" s="4"/>
      <c r="O262" s="4"/>
      <c r="P262" s="4"/>
      <c r="Q262" s="4"/>
    </row>
    <row r="263" spans="13:17" x14ac:dyDescent="0.2">
      <c r="M263" s="4"/>
      <c r="N263" s="4"/>
      <c r="O263" s="4"/>
      <c r="P263" s="4"/>
      <c r="Q263" s="4"/>
    </row>
    <row r="264" spans="13:17" x14ac:dyDescent="0.2">
      <c r="M264" s="4"/>
      <c r="N264" s="4"/>
      <c r="O264" s="4"/>
      <c r="P264" s="4"/>
      <c r="Q264" s="4"/>
    </row>
    <row r="265" spans="13:17" x14ac:dyDescent="0.2">
      <c r="M265" s="4"/>
      <c r="N265" s="4"/>
      <c r="O265" s="4"/>
      <c r="P265" s="4"/>
      <c r="Q265" s="4"/>
    </row>
    <row r="266" spans="13:17" x14ac:dyDescent="0.2">
      <c r="M266" s="4"/>
      <c r="N266" s="4"/>
      <c r="O266" s="4"/>
      <c r="P266" s="4"/>
      <c r="Q266" s="4"/>
    </row>
    <row r="267" spans="13:17" x14ac:dyDescent="0.2">
      <c r="M267" s="4"/>
      <c r="N267" s="4"/>
      <c r="O267" s="4"/>
      <c r="P267" s="4"/>
      <c r="Q267" s="4"/>
    </row>
    <row r="268" spans="13:17" x14ac:dyDescent="0.2">
      <c r="M268" s="4"/>
      <c r="N268" s="4"/>
      <c r="O268" s="4"/>
      <c r="P268" s="4"/>
      <c r="Q268" s="4"/>
    </row>
    <row r="269" spans="13:17" x14ac:dyDescent="0.2">
      <c r="M269" s="4"/>
      <c r="N269" s="4"/>
      <c r="O269" s="4"/>
      <c r="P269" s="4"/>
      <c r="Q269" s="4"/>
    </row>
    <row r="270" spans="13:17" x14ac:dyDescent="0.2">
      <c r="M270" s="4"/>
      <c r="N270" s="4"/>
      <c r="O270" s="4"/>
      <c r="P270" s="4"/>
      <c r="Q270" s="4"/>
    </row>
    <row r="271" spans="13:17" x14ac:dyDescent="0.2">
      <c r="M271" s="4"/>
      <c r="N271" s="4"/>
      <c r="O271" s="4"/>
      <c r="P271" s="4"/>
      <c r="Q271" s="4"/>
    </row>
    <row r="272" spans="13:17" x14ac:dyDescent="0.2">
      <c r="M272" s="4"/>
      <c r="N272" s="4"/>
      <c r="O272" s="4"/>
      <c r="P272" s="4"/>
      <c r="Q272" s="4"/>
    </row>
    <row r="273" spans="13:17" x14ac:dyDescent="0.2">
      <c r="M273" s="4"/>
      <c r="N273" s="4"/>
      <c r="O273" s="4"/>
      <c r="P273" s="4"/>
      <c r="Q273" s="4"/>
    </row>
    <row r="274" spans="13:17" x14ac:dyDescent="0.2">
      <c r="M274" s="4"/>
      <c r="N274" s="4"/>
      <c r="O274" s="4"/>
      <c r="P274" s="4"/>
      <c r="Q274" s="4"/>
    </row>
    <row r="275" spans="13:17" x14ac:dyDescent="0.2">
      <c r="M275" s="4"/>
      <c r="N275" s="4"/>
      <c r="O275" s="4"/>
      <c r="P275" s="4"/>
      <c r="Q275" s="4"/>
    </row>
    <row r="276" spans="13:17" x14ac:dyDescent="0.2">
      <c r="M276" s="4"/>
      <c r="N276" s="4"/>
      <c r="O276" s="4"/>
      <c r="P276" s="4"/>
      <c r="Q276" s="4"/>
    </row>
    <row r="277" spans="13:17" x14ac:dyDescent="0.2">
      <c r="M277" s="4"/>
      <c r="N277" s="4"/>
      <c r="O277" s="4"/>
      <c r="P277" s="4"/>
      <c r="Q277" s="4"/>
    </row>
    <row r="278" spans="13:17" x14ac:dyDescent="0.2">
      <c r="M278" s="4"/>
      <c r="N278" s="4"/>
      <c r="O278" s="4"/>
      <c r="P278" s="4"/>
      <c r="Q278" s="4"/>
    </row>
    <row r="279" spans="13:17" x14ac:dyDescent="0.2">
      <c r="M279" s="4"/>
      <c r="N279" s="4"/>
      <c r="O279" s="4"/>
      <c r="P279" s="4"/>
      <c r="Q279" s="4"/>
    </row>
    <row r="280" spans="13:17" x14ac:dyDescent="0.2">
      <c r="M280" s="4"/>
      <c r="N280" s="4"/>
      <c r="O280" s="4"/>
      <c r="P280" s="4"/>
      <c r="Q280" s="4"/>
    </row>
    <row r="281" spans="13:17" x14ac:dyDescent="0.2">
      <c r="M281" s="4"/>
      <c r="N281" s="4"/>
      <c r="O281" s="4"/>
      <c r="P281" s="4"/>
      <c r="Q281" s="4"/>
    </row>
    <row r="282" spans="13:17" x14ac:dyDescent="0.2">
      <c r="M282" s="4"/>
      <c r="N282" s="4"/>
      <c r="O282" s="4"/>
      <c r="P282" s="4"/>
      <c r="Q282" s="4"/>
    </row>
    <row r="283" spans="13:17" x14ac:dyDescent="0.2">
      <c r="M283" s="4"/>
      <c r="N283" s="4"/>
      <c r="O283" s="4"/>
      <c r="P283" s="4"/>
      <c r="Q283" s="4"/>
    </row>
    <row r="284" spans="13:17" x14ac:dyDescent="0.2">
      <c r="M284" s="4"/>
      <c r="N284" s="4"/>
      <c r="O284" s="4"/>
      <c r="P284" s="4"/>
      <c r="Q284" s="4"/>
    </row>
    <row r="285" spans="13:17" x14ac:dyDescent="0.2">
      <c r="M285" s="4"/>
      <c r="N285" s="4"/>
      <c r="O285" s="4"/>
      <c r="P285" s="4"/>
      <c r="Q285" s="4"/>
    </row>
    <row r="286" spans="13:17" x14ac:dyDescent="0.2">
      <c r="M286" s="4"/>
      <c r="N286" s="4"/>
      <c r="O286" s="4"/>
      <c r="P286" s="4"/>
      <c r="Q286" s="4"/>
    </row>
    <row r="287" spans="13:17" x14ac:dyDescent="0.2">
      <c r="M287" s="4"/>
      <c r="N287" s="4"/>
      <c r="O287" s="4"/>
      <c r="P287" s="4"/>
      <c r="Q287" s="4"/>
    </row>
    <row r="288" spans="13:17" x14ac:dyDescent="0.2">
      <c r="M288" s="4"/>
      <c r="N288" s="4"/>
      <c r="O288" s="4"/>
      <c r="P288" s="4"/>
      <c r="Q288" s="4"/>
    </row>
    <row r="289" spans="13:17" x14ac:dyDescent="0.2">
      <c r="M289" s="4"/>
      <c r="N289" s="4"/>
      <c r="O289" s="4"/>
      <c r="P289" s="4"/>
      <c r="Q289" s="4"/>
    </row>
    <row r="290" spans="13:17" x14ac:dyDescent="0.2">
      <c r="M290" s="4"/>
      <c r="N290" s="4"/>
      <c r="O290" s="4"/>
      <c r="P290" s="4"/>
      <c r="Q290" s="4"/>
    </row>
    <row r="291" spans="13:17" x14ac:dyDescent="0.2">
      <c r="M291" s="4"/>
      <c r="N291" s="4"/>
      <c r="O291" s="4"/>
      <c r="P291" s="4"/>
      <c r="Q291" s="4"/>
    </row>
    <row r="292" spans="13:17" x14ac:dyDescent="0.2">
      <c r="M292" s="4"/>
      <c r="N292" s="4"/>
      <c r="O292" s="4"/>
      <c r="P292" s="4"/>
      <c r="Q292" s="4"/>
    </row>
    <row r="293" spans="13:17" x14ac:dyDescent="0.2">
      <c r="M293" s="4"/>
      <c r="N293" s="4"/>
      <c r="O293" s="4"/>
      <c r="P293" s="4"/>
      <c r="Q293" s="4"/>
    </row>
    <row r="294" spans="13:17" x14ac:dyDescent="0.2">
      <c r="M294" s="4"/>
      <c r="N294" s="4"/>
      <c r="O294" s="4"/>
      <c r="P294" s="4"/>
      <c r="Q294" s="4"/>
    </row>
    <row r="295" spans="13:17" x14ac:dyDescent="0.2">
      <c r="M295" s="4"/>
      <c r="N295" s="4"/>
      <c r="O295" s="4"/>
      <c r="P295" s="4"/>
      <c r="Q295" s="4"/>
    </row>
    <row r="296" spans="13:17" x14ac:dyDescent="0.2">
      <c r="M296" s="4"/>
      <c r="N296" s="4"/>
      <c r="O296" s="4"/>
      <c r="P296" s="4"/>
      <c r="Q296" s="4"/>
    </row>
    <row r="297" spans="13:17" x14ac:dyDescent="0.2">
      <c r="M297" s="4"/>
      <c r="N297" s="4"/>
      <c r="O297" s="4"/>
      <c r="P297" s="4"/>
      <c r="Q297" s="4"/>
    </row>
    <row r="298" spans="13:17" x14ac:dyDescent="0.2">
      <c r="M298" s="4"/>
      <c r="N298" s="4"/>
      <c r="O298" s="4"/>
      <c r="P298" s="4"/>
      <c r="Q298" s="4"/>
    </row>
    <row r="299" spans="13:17" x14ac:dyDescent="0.2">
      <c r="M299" s="4"/>
      <c r="N299" s="4"/>
      <c r="O299" s="4"/>
      <c r="P299" s="4"/>
      <c r="Q299" s="4"/>
    </row>
    <row r="300" spans="13:17" x14ac:dyDescent="0.2">
      <c r="M300" s="4"/>
      <c r="N300" s="4"/>
      <c r="O300" s="4"/>
      <c r="P300" s="4"/>
      <c r="Q300" s="4"/>
    </row>
    <row r="301" spans="13:17" x14ac:dyDescent="0.2">
      <c r="M301" s="4"/>
      <c r="N301" s="4"/>
      <c r="O301" s="4"/>
      <c r="P301" s="4"/>
      <c r="Q301" s="4"/>
    </row>
    <row r="302" spans="13:17" x14ac:dyDescent="0.2">
      <c r="M302" s="4"/>
      <c r="N302" s="4"/>
      <c r="O302" s="4"/>
      <c r="P302" s="4"/>
      <c r="Q302" s="4"/>
    </row>
    <row r="303" spans="13:17" x14ac:dyDescent="0.2">
      <c r="M303" s="4"/>
      <c r="N303" s="4"/>
      <c r="O303" s="4"/>
      <c r="P303" s="4"/>
      <c r="Q303" s="4"/>
    </row>
    <row r="304" spans="13:17" x14ac:dyDescent="0.2">
      <c r="M304" s="4"/>
      <c r="N304" s="4"/>
      <c r="O304" s="4"/>
      <c r="P304" s="4"/>
      <c r="Q304" s="4"/>
    </row>
    <row r="305" spans="13:17" x14ac:dyDescent="0.2">
      <c r="M305" s="4"/>
      <c r="N305" s="4"/>
      <c r="O305" s="4"/>
      <c r="P305" s="4"/>
      <c r="Q305" s="4"/>
    </row>
  </sheetData>
  <sheetProtection password="8677" sheet="1" objects="1" scenarios="1"/>
  <mergeCells count="13">
    <mergeCell ref="C61:E61"/>
    <mergeCell ref="F56:G57"/>
    <mergeCell ref="E12:F12"/>
    <mergeCell ref="H11:J12"/>
    <mergeCell ref="F37:H38"/>
    <mergeCell ref="E13:F13"/>
    <mergeCell ref="I14:J14"/>
    <mergeCell ref="F26:H27"/>
    <mergeCell ref="I13:J13"/>
    <mergeCell ref="F29:H29"/>
    <mergeCell ref="F31:H31"/>
    <mergeCell ref="F36:H36"/>
    <mergeCell ref="F22:H22"/>
  </mergeCells>
  <pageMargins left="0.62992125984251968" right="0.23622047244094491" top="0.74803149606299213" bottom="0.74803149606299213" header="0.31496062992125984" footer="0.31496062992125984"/>
  <pageSetup paperSize="9" scale="93" fitToHeight="0" orientation="portrait" r:id="rId1"/>
  <headerFooter>
    <oddFooter>&amp;R&amp;P von &amp;N</oddFooter>
  </headerFooter>
  <rowBreaks count="1" manualBreakCount="1">
    <brk id="54" max="16383" man="1"/>
  </rowBreaks>
  <colBreaks count="1" manualBreakCount="1">
    <brk id="10"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7" id="{B3678687-9D73-449B-A6F8-3CBA8053D01D}">
            <xm:f>OR(Kulturen!$H$231=0,AND(AB_Eingabe!$M$68=1,Kulturen!$H$231="Mais"))</xm:f>
            <x14:dxf>
              <font>
                <color theme="0"/>
              </font>
              <fill>
                <patternFill patternType="solid">
                  <bgColor auto="1"/>
                </patternFill>
              </fill>
              <border>
                <left/>
                <right/>
                <top/>
                <bottom/>
                <vertical/>
                <horizontal/>
              </border>
            </x14:dxf>
          </x14:cfRule>
          <xm:sqref>C45:J53</xm:sqref>
        </x14:conditionalFormatting>
        <x14:conditionalFormatting xmlns:xm="http://schemas.microsoft.com/office/excel/2006/main">
          <x14:cfRule type="expression" priority="4" id="{E5DF718B-6957-4C18-89C1-174C911BB666}">
            <xm:f>OR(Kulturen!$H$231=0,AND(AB_Eingabe!$M$68=1,Kulturen!$H$231="Mais"))</xm:f>
            <x14:dxf>
              <font>
                <color theme="0"/>
              </font>
              <fill>
                <patternFill patternType="solid"/>
              </fill>
              <border>
                <left style="hair">
                  <color theme="0"/>
                </left>
                <right style="hair">
                  <color auto="1"/>
                </right>
                <top style="hair">
                  <color theme="0"/>
                </top>
                <bottom style="hair">
                  <color theme="0"/>
                </bottom>
                <vertical/>
                <horizontal/>
              </border>
            </x14:dxf>
          </x14:cfRule>
          <xm:sqref>J45:J53</xm:sqref>
        </x14:conditionalFormatting>
        <x14:conditionalFormatting xmlns:xm="http://schemas.microsoft.com/office/excel/2006/main">
          <x14:cfRule type="expression" priority="2" id="{14D661AF-30E8-4F0E-917A-5F665B19F84A}">
            <xm:f>Kommentarliste!R52&gt;0</xm:f>
            <x14:dxf>
              <fill>
                <patternFill>
                  <bgColor theme="0"/>
                </patternFill>
              </fill>
            </x14:dxf>
          </x14:cfRule>
          <xm:sqref>K44</xm:sqref>
        </x14:conditionalFormatting>
        <x14:conditionalFormatting xmlns:xm="http://schemas.microsoft.com/office/excel/2006/main">
          <x14:cfRule type="expression" priority="1" id="{F8BF9EFB-7BCB-4778-A752-2F5665D059AA}">
            <xm:f>Kommentarliste!R72&gt;0</xm:f>
            <x14:dxf>
              <fill>
                <patternFill>
                  <bgColor theme="0"/>
                </patternFill>
              </fill>
            </x14:dxf>
          </x14:cfRule>
          <xm:sqref>K69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3" tint="0.79998168889431442"/>
  </sheetPr>
  <dimension ref="A1:Q66"/>
  <sheetViews>
    <sheetView showGridLines="0" topLeftCell="B1" zoomScaleNormal="100" workbookViewId="0">
      <pane ySplit="15" topLeftCell="A16" activePane="bottomLeft" state="frozen"/>
      <selection activeCell="A10" sqref="A10"/>
      <selection pane="bottomLeft"/>
    </sheetView>
  </sheetViews>
  <sheetFormatPr baseColWidth="10" defaultRowHeight="14.25" x14ac:dyDescent="0.2"/>
  <cols>
    <col min="1" max="1" width="4.25" hidden="1" customWidth="1"/>
    <col min="2" max="2" width="0.5" style="189" customWidth="1"/>
    <col min="3" max="3" width="2.875" customWidth="1"/>
    <col min="12" max="12" width="39.75" hidden="1" customWidth="1"/>
    <col min="13" max="18" width="0" hidden="1" customWidth="1"/>
  </cols>
  <sheetData>
    <row r="1" spans="2:17" ht="3.4" customHeight="1" x14ac:dyDescent="0.2"/>
    <row r="2" spans="2:17" ht="30.6" customHeight="1" x14ac:dyDescent="0.25">
      <c r="B2" s="649"/>
      <c r="D2" s="396"/>
      <c r="E2" s="397"/>
      <c r="F2" s="397"/>
      <c r="G2" s="397"/>
      <c r="H2" s="397"/>
      <c r="I2" s="397"/>
      <c r="J2" s="397"/>
      <c r="K2" s="398"/>
      <c r="L2" s="896" t="s">
        <v>4402</v>
      </c>
    </row>
    <row r="3" spans="2:17" ht="18.399999999999999" x14ac:dyDescent="0.3">
      <c r="B3" s="649"/>
      <c r="D3" s="155" t="str">
        <f>Startmenue!C2</f>
        <v>Düngung BW</v>
      </c>
      <c r="E3" s="156"/>
      <c r="F3" s="156"/>
      <c r="G3" s="156"/>
      <c r="H3" s="156"/>
      <c r="I3" s="156"/>
      <c r="J3" s="156"/>
      <c r="K3" s="157" t="s">
        <v>1</v>
      </c>
      <c r="L3" s="895"/>
      <c r="O3" s="4"/>
      <c r="P3" s="4"/>
      <c r="Q3" s="4"/>
    </row>
    <row r="4" spans="2:17" ht="13.7" x14ac:dyDescent="0.2">
      <c r="B4" s="649"/>
      <c r="D4" s="6" t="str">
        <f>AB_Eingabe!C4&amp;" "&amp;AB_Eingabe!J21</f>
        <v xml:space="preserve">Düngebedarfsberechnung Ackerbau </v>
      </c>
      <c r="E4" s="4"/>
      <c r="F4" s="4"/>
      <c r="G4" s="4" t="s">
        <v>4390</v>
      </c>
      <c r="H4" s="4"/>
      <c r="I4" s="4"/>
      <c r="J4" s="4"/>
      <c r="K4" s="394">
        <f>AB_Eingabe!J4</f>
        <v>0</v>
      </c>
      <c r="L4" s="895"/>
      <c r="O4" s="4"/>
      <c r="P4" s="4"/>
      <c r="Q4" s="4"/>
    </row>
    <row r="5" spans="2:17" x14ac:dyDescent="0.25">
      <c r="B5" s="649"/>
      <c r="D5" s="104" t="str">
        <f>Startmenue!C4</f>
        <v>(EXCEL-Anwendung, Stand: 06/03/2018)</v>
      </c>
      <c r="E5" s="3"/>
      <c r="F5" s="3"/>
      <c r="G5" s="3"/>
      <c r="H5" s="3"/>
      <c r="I5" s="3"/>
      <c r="J5" s="3"/>
      <c r="K5" s="648" t="str">
        <f>Startmenue!G2</f>
        <v>Version 1.2</v>
      </c>
      <c r="L5" s="895"/>
      <c r="O5" s="4"/>
      <c r="P5" s="4"/>
      <c r="Q5" s="4"/>
    </row>
    <row r="6" spans="2:17" ht="2.1" customHeight="1" x14ac:dyDescent="0.2">
      <c r="B6" s="649"/>
      <c r="D6" s="5"/>
      <c r="E6" s="4"/>
      <c r="F6" s="4"/>
      <c r="G6" s="4"/>
      <c r="H6" s="4"/>
      <c r="I6" s="4"/>
      <c r="J6" s="4"/>
      <c r="K6" s="10"/>
      <c r="L6" s="895"/>
      <c r="O6" s="4"/>
      <c r="P6" s="4"/>
      <c r="Q6" s="4"/>
    </row>
    <row r="7" spans="2:17" ht="2.1" customHeight="1" x14ac:dyDescent="0.2">
      <c r="B7" s="649"/>
      <c r="D7" s="5"/>
      <c r="E7" s="4"/>
      <c r="F7" s="4"/>
      <c r="G7" s="4"/>
      <c r="H7" s="4"/>
      <c r="I7" s="4"/>
      <c r="J7" s="4"/>
      <c r="K7" s="10"/>
      <c r="L7" s="895"/>
      <c r="O7" s="4"/>
      <c r="P7" s="4"/>
      <c r="Q7" s="4"/>
    </row>
    <row r="8" spans="2:17" ht="2.1" customHeight="1" x14ac:dyDescent="0.2">
      <c r="B8" s="649"/>
      <c r="D8" s="5"/>
      <c r="E8" s="4"/>
      <c r="F8" s="4"/>
      <c r="G8" s="4"/>
      <c r="H8" s="4"/>
      <c r="I8" s="4"/>
      <c r="J8" s="4"/>
      <c r="K8" s="10"/>
      <c r="L8" s="895"/>
      <c r="O8" s="4"/>
      <c r="P8" s="4"/>
      <c r="Q8" s="4"/>
    </row>
    <row r="9" spans="2:17" ht="0.75" customHeight="1" x14ac:dyDescent="0.2">
      <c r="B9" s="649"/>
      <c r="D9" s="5"/>
      <c r="G9" s="4"/>
      <c r="H9" s="4"/>
      <c r="I9" s="4"/>
      <c r="J9" s="4"/>
      <c r="K9" s="10"/>
      <c r="L9" s="895"/>
      <c r="O9" s="4"/>
      <c r="P9" s="4"/>
      <c r="Q9" s="4"/>
    </row>
    <row r="10" spans="2:17" ht="4.1500000000000004" customHeight="1" x14ac:dyDescent="0.2">
      <c r="B10" s="649"/>
      <c r="D10" s="167"/>
      <c r="E10" s="3"/>
      <c r="F10" s="3"/>
      <c r="G10" s="3"/>
      <c r="H10" s="3"/>
      <c r="I10" s="3"/>
      <c r="J10" s="3"/>
      <c r="K10" s="230"/>
      <c r="L10" s="895"/>
      <c r="O10" s="4"/>
      <c r="P10" s="4"/>
      <c r="Q10" s="4"/>
    </row>
    <row r="11" spans="2:17" ht="13.7" customHeight="1" x14ac:dyDescent="0.2">
      <c r="B11" s="649"/>
      <c r="D11" s="7" t="s">
        <v>3</v>
      </c>
      <c r="E11" s="9"/>
      <c r="F11" s="389">
        <f>AB_Eingabe!E12</f>
        <v>0</v>
      </c>
      <c r="G11" s="390"/>
      <c r="H11" s="338" t="s">
        <v>4</v>
      </c>
      <c r="I11" s="1929">
        <f>AB_Eingabe!H12</f>
        <v>0</v>
      </c>
      <c r="J11" s="1930"/>
      <c r="K11" s="1931"/>
      <c r="L11" s="895"/>
      <c r="O11" s="4"/>
      <c r="P11" s="4"/>
      <c r="Q11" s="4"/>
    </row>
    <row r="12" spans="2:17" x14ac:dyDescent="0.2">
      <c r="B12" s="649"/>
      <c r="D12" s="12" t="s">
        <v>5</v>
      </c>
      <c r="E12" s="13"/>
      <c r="F12" s="627">
        <f>AB_Eingabe!E13</f>
        <v>0</v>
      </c>
      <c r="G12" s="628"/>
      <c r="I12" s="1897"/>
      <c r="J12" s="1898"/>
      <c r="K12" s="1899"/>
      <c r="L12" s="895"/>
      <c r="O12" s="4"/>
      <c r="P12" s="4"/>
      <c r="Q12" s="4"/>
    </row>
    <row r="13" spans="2:17" ht="13.7" x14ac:dyDescent="0.2">
      <c r="B13" s="649"/>
      <c r="D13" s="12" t="s">
        <v>7</v>
      </c>
      <c r="E13" s="13"/>
      <c r="F13" s="627">
        <f>AB_Eingabe!E14</f>
        <v>0</v>
      </c>
      <c r="G13" s="628"/>
      <c r="H13" s="17" t="s">
        <v>6</v>
      </c>
      <c r="I13" s="160"/>
      <c r="J13" s="627">
        <f>AB_Eingabe!I14</f>
        <v>0</v>
      </c>
      <c r="K13" s="628"/>
      <c r="L13" s="895"/>
      <c r="O13" s="4"/>
      <c r="P13" s="4"/>
      <c r="Q13" s="4"/>
    </row>
    <row r="14" spans="2:17" x14ac:dyDescent="0.2">
      <c r="B14" s="649"/>
      <c r="D14" s="12" t="s">
        <v>9</v>
      </c>
      <c r="E14" s="13"/>
      <c r="F14" s="627">
        <f>AB_Eingabe!E15</f>
        <v>0</v>
      </c>
      <c r="G14" s="392"/>
      <c r="H14" t="s">
        <v>4301</v>
      </c>
      <c r="I14" s="160"/>
      <c r="J14" s="629">
        <f>AB_Eingabe!H16</f>
        <v>0</v>
      </c>
      <c r="K14" s="630"/>
      <c r="L14" s="895"/>
      <c r="O14" s="4"/>
      <c r="P14" s="4"/>
      <c r="Q14" s="4"/>
    </row>
    <row r="15" spans="2:17" x14ac:dyDescent="0.2">
      <c r="B15" s="649"/>
      <c r="D15" s="12" t="s">
        <v>11</v>
      </c>
      <c r="E15" s="13"/>
      <c r="F15" s="1012">
        <f>AB_Eingabe!E16</f>
        <v>0</v>
      </c>
      <c r="G15" s="392"/>
      <c r="H15" s="12" t="s">
        <v>4304</v>
      </c>
      <c r="I15" s="160"/>
      <c r="J15" s="627" t="str">
        <f ca="1">AB_Eingabe!I17</f>
        <v>Gemeinde und Gemarkung auswählen!</v>
      </c>
      <c r="K15" s="393"/>
      <c r="L15" s="895"/>
      <c r="O15" s="4"/>
      <c r="P15" s="4"/>
      <c r="Q15" s="4"/>
    </row>
    <row r="16" spans="2:17" ht="4.1500000000000004" customHeight="1" x14ac:dyDescent="0.2">
      <c r="D16" s="24"/>
      <c r="E16" s="1"/>
      <c r="F16" s="1"/>
      <c r="G16" s="1"/>
      <c r="H16" s="1"/>
      <c r="I16" s="1"/>
      <c r="J16" s="1"/>
      <c r="K16" s="25"/>
      <c r="L16" s="895"/>
    </row>
    <row r="17" spans="2:12" ht="6.75" customHeight="1" x14ac:dyDescent="0.25">
      <c r="D17" s="957"/>
      <c r="E17" s="15"/>
      <c r="F17" s="958"/>
      <c r="G17" s="959"/>
      <c r="H17" s="15"/>
      <c r="I17" s="15"/>
      <c r="J17" s="15"/>
      <c r="K17" s="16"/>
      <c r="L17" s="895"/>
    </row>
    <row r="18" spans="2:12" ht="55.15" customHeight="1" x14ac:dyDescent="0.2">
      <c r="B18" s="199" t="str">
        <f t="shared" ref="B18:B38" si="0">IF(D18="","G","")</f>
        <v/>
      </c>
      <c r="C18" s="225">
        <v>1</v>
      </c>
      <c r="D18" s="1926" t="str">
        <f>IF(ISERROR(VLOOKUP(C18,Kommentarliste!$E$17:$N$71,Kommentarliste!$J$4,FALSE)),"",VLOOKUP(C18,Kommentarliste!$E$17:$N$71,Kommentarliste!$J$4,FALSE))</f>
        <v xml:space="preserve">Kommentare: Ackerbau - N - </v>
      </c>
      <c r="E18" s="1927"/>
      <c r="F18" s="1927"/>
      <c r="G18" s="1927"/>
      <c r="H18" s="1927"/>
      <c r="I18" s="1927"/>
      <c r="J18" s="1927"/>
      <c r="K18" s="1928"/>
      <c r="L18" s="895"/>
    </row>
    <row r="19" spans="2:12" ht="55.15" customHeight="1" x14ac:dyDescent="0.2">
      <c r="B19" s="199" t="str">
        <f t="shared" si="0"/>
        <v/>
      </c>
      <c r="C19" s="225">
        <v>2</v>
      </c>
      <c r="D19" s="1926" t="str">
        <f>IF(ISERROR(VLOOKUP(C19,Kommentarliste!$E$17:$N$71,Kommentarliste!$J$4,FALSE)),"",VLOOKUP(C19,Kommentarliste!$E$17:$N$71,Kommentarliste!$J$4,FALSE))</f>
        <v>Hauptfrucht nicht/ungenau angegeben, daher keine Düngeempfehlung.</v>
      </c>
      <c r="E19" s="1927"/>
      <c r="F19" s="1927"/>
      <c r="G19" s="1927"/>
      <c r="H19" s="1927"/>
      <c r="I19" s="1927"/>
      <c r="J19" s="1927"/>
      <c r="K19" s="1928"/>
      <c r="L19" s="895"/>
    </row>
    <row r="20" spans="2:12" ht="55.15" customHeight="1" x14ac:dyDescent="0.2">
      <c r="B20" s="199" t="str">
        <f t="shared" si="0"/>
        <v/>
      </c>
      <c r="C20" s="225">
        <v>3</v>
      </c>
      <c r="D20" s="1926" t="str">
        <f>IF(ISERROR(VLOOKUP(C20,Kommentarliste!$E$17:$N$71,Kommentarliste!$J$4,FALSE)),"",VLOOKUP(C20,Kommentarliste!$E$17:$N$71,Kommentarliste!$J$4,FALSE))</f>
        <v>Da kein Eigenanalysewert des org. Düngers (Andüngung/Mais späte Nmin) angegeben war, wurde mit dem Tabellenwert gerechnet.</v>
      </c>
      <c r="E20" s="1927"/>
      <c r="F20" s="1927"/>
      <c r="G20" s="1927"/>
      <c r="H20" s="1927"/>
      <c r="I20" s="1927"/>
      <c r="J20" s="1927"/>
      <c r="K20" s="1928"/>
      <c r="L20" s="895"/>
    </row>
    <row r="21" spans="2:12" ht="55.15" customHeight="1" x14ac:dyDescent="0.2">
      <c r="B21" s="199" t="str">
        <f t="shared" si="0"/>
        <v/>
      </c>
      <c r="C21" s="225">
        <v>4</v>
      </c>
      <c r="D21" s="1926" t="str">
        <f>IF(ISERROR(VLOOKUP(C21,Kommentarliste!$E$17:$N$71,Kommentarliste!$J$4,FALSE)),"",VLOOKUP(C21,Kommentarliste!$E$17:$N$71,Kommentarliste!$J$4,FALSE))</f>
        <v>.</v>
      </c>
      <c r="E21" s="1927"/>
      <c r="F21" s="1927"/>
      <c r="G21" s="1927"/>
      <c r="H21" s="1927"/>
      <c r="I21" s="1927"/>
      <c r="J21" s="1927"/>
      <c r="K21" s="1928"/>
      <c r="L21" s="895"/>
    </row>
    <row r="22" spans="2:12" ht="55.15" customHeight="1" x14ac:dyDescent="0.2">
      <c r="B22" s="199" t="str">
        <f t="shared" si="0"/>
        <v/>
      </c>
      <c r="C22" s="225">
        <v>5</v>
      </c>
      <c r="D22" s="1926" t="str">
        <f>IF(ISERROR(VLOOKUP(C22,Kommentarliste!$E$17:$N$71,Kommentarliste!$J$4,FALSE)),"",VLOOKUP(C22,Kommentarliste!$E$17:$N$71,Kommentarliste!$J$4,FALSE))</f>
        <v>Kommentare: Ackerbau - P2O5, K2O, MgO -</v>
      </c>
      <c r="E22" s="1927"/>
      <c r="F22" s="1927"/>
      <c r="G22" s="1927"/>
      <c r="H22" s="1927"/>
      <c r="I22" s="1927"/>
      <c r="J22" s="1927"/>
      <c r="K22" s="1928"/>
      <c r="L22" s="895"/>
    </row>
    <row r="23" spans="2:12" ht="55.15" customHeight="1" x14ac:dyDescent="0.2">
      <c r="B23" s="199" t="str">
        <f t="shared" si="0"/>
        <v/>
      </c>
      <c r="C23" s="225">
        <v>6</v>
      </c>
      <c r="D23" s="1926" t="str">
        <f>IF(ISERROR(VLOOKUP(C23,Kommentarliste!$E$17:$N$71,Kommentarliste!$J$4,FALSE)),"",VLOOKUP(C23,Kommentarliste!$E$17:$N$71,Kommentarliste!$J$4,FALSE))</f>
        <v>Hauptfrucht nicht/ungenau angegeben, daher keine Düngeempfehlung.</v>
      </c>
      <c r="E23" s="1927"/>
      <c r="F23" s="1927"/>
      <c r="G23" s="1927"/>
      <c r="H23" s="1927"/>
      <c r="I23" s="1927"/>
      <c r="J23" s="1927"/>
      <c r="K23" s="1928"/>
      <c r="L23" s="895"/>
    </row>
    <row r="24" spans="2:12" ht="55.15" customHeight="1" x14ac:dyDescent="0.2">
      <c r="B24" s="199" t="str">
        <f t="shared" si="0"/>
        <v/>
      </c>
      <c r="C24" s="225">
        <v>7</v>
      </c>
      <c r="D24" s="1926" t="str">
        <f>IF(ISERROR(VLOOKUP(C24,Kommentarliste!$E$17:$N$71,Kommentarliste!$J$4,FALSE)),"",VLOOKUP(C24,Kommentarliste!$E$17:$N$71,Kommentarliste!$J$4,FALSE))</f>
        <v>.</v>
      </c>
      <c r="E24" s="1927"/>
      <c r="F24" s="1927"/>
      <c r="G24" s="1927"/>
      <c r="H24" s="1927"/>
      <c r="I24" s="1927"/>
      <c r="J24" s="1927"/>
      <c r="K24" s="1928"/>
      <c r="L24" s="895"/>
    </row>
    <row r="25" spans="2:12" ht="55.15" customHeight="1" x14ac:dyDescent="0.2">
      <c r="B25" s="199" t="str">
        <f t="shared" si="0"/>
        <v/>
      </c>
      <c r="C25" s="225">
        <v>8</v>
      </c>
      <c r="D25" s="1926" t="str">
        <f>IF(ISERROR(VLOOKUP(C25,Kommentarliste!$E$17:$N$71,Kommentarliste!$J$4,FALSE)),"",VLOOKUP(C25,Kommentarliste!$E$17:$N$71,Kommentarliste!$J$4,FALSE))</f>
        <v>Kommentare: Ackerbau - Kalk -</v>
      </c>
      <c r="E25" s="1927"/>
      <c r="F25" s="1927"/>
      <c r="G25" s="1927"/>
      <c r="H25" s="1927"/>
      <c r="I25" s="1927"/>
      <c r="J25" s="1927"/>
      <c r="K25" s="1928"/>
      <c r="L25" s="895"/>
    </row>
    <row r="26" spans="2:12" ht="55.15" customHeight="1" x14ac:dyDescent="0.2">
      <c r="B26" s="199" t="str">
        <f t="shared" si="0"/>
        <v>G</v>
      </c>
      <c r="C26" s="225">
        <v>9</v>
      </c>
      <c r="D26" s="1926" t="str">
        <f>IF(ISERROR(VLOOKUP(C26,Kommentarliste!$E$17:$N$71,Kommentarliste!$J$4,FALSE)),"",VLOOKUP(C26,Kommentarliste!$E$17:$N$71,Kommentarliste!$J$4,FALSE))</f>
        <v/>
      </c>
      <c r="E26" s="1927"/>
      <c r="F26" s="1927"/>
      <c r="G26" s="1927"/>
      <c r="H26" s="1927"/>
      <c r="I26" s="1927"/>
      <c r="J26" s="1927"/>
      <c r="K26" s="1928"/>
      <c r="L26" s="895"/>
    </row>
    <row r="27" spans="2:12" ht="55.15" customHeight="1" x14ac:dyDescent="0.2">
      <c r="B27" s="199" t="str">
        <f t="shared" si="0"/>
        <v>G</v>
      </c>
      <c r="C27" s="225">
        <v>10</v>
      </c>
      <c r="D27" s="1926" t="str">
        <f>IF(ISERROR(VLOOKUP(C27,Kommentarliste!$E$17:$N$71,Kommentarliste!$J$4,FALSE)),"",VLOOKUP(C27,Kommentarliste!$E$17:$N$71,Kommentarliste!$J$4,FALSE))</f>
        <v/>
      </c>
      <c r="E27" s="1927"/>
      <c r="F27" s="1927"/>
      <c r="G27" s="1927"/>
      <c r="H27" s="1927"/>
      <c r="I27" s="1927"/>
      <c r="J27" s="1927"/>
      <c r="K27" s="1928"/>
      <c r="L27" s="895"/>
    </row>
    <row r="28" spans="2:12" ht="55.15" customHeight="1" x14ac:dyDescent="0.2">
      <c r="B28" s="199" t="str">
        <f t="shared" si="0"/>
        <v>G</v>
      </c>
      <c r="C28" s="225">
        <v>11</v>
      </c>
      <c r="D28" s="1926" t="str">
        <f>IF(ISERROR(VLOOKUP(C28,Kommentarliste!$E$17:$N$71,Kommentarliste!$J$4,FALSE)),"",VLOOKUP(C28,Kommentarliste!$E$17:$N$71,Kommentarliste!$J$4,FALSE))</f>
        <v/>
      </c>
      <c r="E28" s="1927"/>
      <c r="F28" s="1927"/>
      <c r="G28" s="1927"/>
      <c r="H28" s="1927"/>
      <c r="I28" s="1927"/>
      <c r="J28" s="1927"/>
      <c r="K28" s="1928"/>
      <c r="L28" s="895"/>
    </row>
    <row r="29" spans="2:12" ht="55.15" customHeight="1" x14ac:dyDescent="0.2">
      <c r="B29" s="199" t="str">
        <f t="shared" si="0"/>
        <v>G</v>
      </c>
      <c r="C29" s="225">
        <v>12</v>
      </c>
      <c r="D29" s="1926" t="str">
        <f>IF(ISERROR(VLOOKUP(C29,Kommentarliste!$E$17:$N$71,Kommentarliste!$J$4,FALSE)),"",VLOOKUP(C29,Kommentarliste!$E$17:$N$71,Kommentarliste!$J$4,FALSE))</f>
        <v/>
      </c>
      <c r="E29" s="1927"/>
      <c r="F29" s="1927"/>
      <c r="G29" s="1927"/>
      <c r="H29" s="1927"/>
      <c r="I29" s="1927"/>
      <c r="J29" s="1927"/>
      <c r="K29" s="1928"/>
      <c r="L29" s="895"/>
    </row>
    <row r="30" spans="2:12" ht="55.15" customHeight="1" x14ac:dyDescent="0.2">
      <c r="B30" s="199" t="str">
        <f t="shared" si="0"/>
        <v>G</v>
      </c>
      <c r="C30" s="225">
        <v>13</v>
      </c>
      <c r="D30" s="1926" t="str">
        <f>IF(ISERROR(VLOOKUP(C30,Kommentarliste!$E$17:$N$71,Kommentarliste!$J$4,FALSE)),"",VLOOKUP(C30,Kommentarliste!$E$17:$N$71,Kommentarliste!$J$4,FALSE))</f>
        <v/>
      </c>
      <c r="E30" s="1927"/>
      <c r="F30" s="1927"/>
      <c r="G30" s="1927"/>
      <c r="H30" s="1927"/>
      <c r="I30" s="1927"/>
      <c r="J30" s="1927"/>
      <c r="K30" s="1928"/>
      <c r="L30" s="895"/>
    </row>
    <row r="31" spans="2:12" ht="55.15" customHeight="1" x14ac:dyDescent="0.2">
      <c r="B31" s="199" t="str">
        <f t="shared" si="0"/>
        <v>G</v>
      </c>
      <c r="C31" s="225">
        <v>14</v>
      </c>
      <c r="D31" s="1926" t="str">
        <f>IF(ISERROR(VLOOKUP(C31,Kommentarliste!$E$17:$N$71,Kommentarliste!$J$4,FALSE)),"",VLOOKUP(C31,Kommentarliste!$E$17:$N$71,Kommentarliste!$J$4,FALSE))</f>
        <v/>
      </c>
      <c r="E31" s="1927"/>
      <c r="F31" s="1927"/>
      <c r="G31" s="1927"/>
      <c r="H31" s="1927"/>
      <c r="I31" s="1927"/>
      <c r="J31" s="1927"/>
      <c r="K31" s="1928"/>
      <c r="L31" s="895"/>
    </row>
    <row r="32" spans="2:12" ht="55.15" customHeight="1" x14ac:dyDescent="0.2">
      <c r="B32" s="199" t="str">
        <f t="shared" si="0"/>
        <v>G</v>
      </c>
      <c r="C32" s="225">
        <v>15</v>
      </c>
      <c r="D32" s="1926" t="str">
        <f>IF(ISERROR(VLOOKUP(C32,Kommentarliste!$E$17:$N$71,Kommentarliste!$J$4,FALSE)),"",VLOOKUP(C32,Kommentarliste!$E$17:$N$71,Kommentarliste!$J$4,FALSE))</f>
        <v/>
      </c>
      <c r="E32" s="1927"/>
      <c r="F32" s="1927"/>
      <c r="G32" s="1927"/>
      <c r="H32" s="1927"/>
      <c r="I32" s="1927"/>
      <c r="J32" s="1927"/>
      <c r="K32" s="1928"/>
      <c r="L32" s="895"/>
    </row>
    <row r="33" spans="2:12" ht="55.15" customHeight="1" x14ac:dyDescent="0.2">
      <c r="B33" s="199" t="str">
        <f t="shared" si="0"/>
        <v>G</v>
      </c>
      <c r="C33" s="225">
        <v>16</v>
      </c>
      <c r="D33" s="1926" t="str">
        <f>IF(ISERROR(VLOOKUP(C33,Kommentarliste!$E$17:$N$71,Kommentarliste!$J$4,FALSE)),"",VLOOKUP(C33,Kommentarliste!$E$17:$N$71,Kommentarliste!$J$4,FALSE))</f>
        <v/>
      </c>
      <c r="E33" s="1927"/>
      <c r="F33" s="1927"/>
      <c r="G33" s="1927"/>
      <c r="H33" s="1927"/>
      <c r="I33" s="1927"/>
      <c r="J33" s="1927"/>
      <c r="K33" s="1928"/>
      <c r="L33" s="895"/>
    </row>
    <row r="34" spans="2:12" ht="55.15" customHeight="1" x14ac:dyDescent="0.2">
      <c r="B34" s="199" t="str">
        <f t="shared" si="0"/>
        <v>G</v>
      </c>
      <c r="C34" s="225">
        <v>17</v>
      </c>
      <c r="D34" s="1926" t="str">
        <f>IF(ISERROR(VLOOKUP(C34,Kommentarliste!$E$17:$N$71,Kommentarliste!$J$4,FALSE)),"",VLOOKUP(C34,Kommentarliste!$E$17:$N$71,Kommentarliste!$J$4,FALSE))</f>
        <v/>
      </c>
      <c r="E34" s="1927"/>
      <c r="F34" s="1927"/>
      <c r="G34" s="1927"/>
      <c r="H34" s="1927"/>
      <c r="I34" s="1927"/>
      <c r="J34" s="1927"/>
      <c r="K34" s="1928"/>
      <c r="L34" s="895"/>
    </row>
    <row r="35" spans="2:12" ht="55.15" customHeight="1" x14ac:dyDescent="0.2">
      <c r="B35" s="199" t="str">
        <f t="shared" si="0"/>
        <v>G</v>
      </c>
      <c r="C35" s="225">
        <v>18</v>
      </c>
      <c r="D35" s="1926" t="str">
        <f>IF(ISERROR(VLOOKUP(C35,Kommentarliste!$E$17:$N$71,Kommentarliste!$J$4,FALSE)),"",VLOOKUP(C35,Kommentarliste!$E$17:$N$71,Kommentarliste!$J$4,FALSE))</f>
        <v/>
      </c>
      <c r="E35" s="1927"/>
      <c r="F35" s="1927"/>
      <c r="G35" s="1927"/>
      <c r="H35" s="1927"/>
      <c r="I35" s="1927"/>
      <c r="J35" s="1927"/>
      <c r="K35" s="1928"/>
      <c r="L35" s="895"/>
    </row>
    <row r="36" spans="2:12" ht="55.15" customHeight="1" x14ac:dyDescent="0.2">
      <c r="B36" s="199" t="str">
        <f t="shared" si="0"/>
        <v>G</v>
      </c>
      <c r="C36" s="225">
        <v>19</v>
      </c>
      <c r="D36" s="1926" t="str">
        <f>IF(ISERROR(VLOOKUP(C36,Kommentarliste!$E$17:$N$71,Kommentarliste!$J$4,FALSE)),"",VLOOKUP(C36,Kommentarliste!$E$17:$N$71,Kommentarliste!$J$4,FALSE))</f>
        <v/>
      </c>
      <c r="E36" s="1927"/>
      <c r="F36" s="1927"/>
      <c r="G36" s="1927"/>
      <c r="H36" s="1927"/>
      <c r="I36" s="1927"/>
      <c r="J36" s="1927"/>
      <c r="K36" s="1928"/>
      <c r="L36" s="895"/>
    </row>
    <row r="37" spans="2:12" ht="55.15" customHeight="1" x14ac:dyDescent="0.2">
      <c r="B37" s="199" t="str">
        <f t="shared" si="0"/>
        <v>G</v>
      </c>
      <c r="C37" s="225">
        <v>20</v>
      </c>
      <c r="D37" s="1926" t="str">
        <f>IF(ISERROR(VLOOKUP(C37,Kommentarliste!$E$17:$N$71,Kommentarliste!$J$4,FALSE)),"",VLOOKUP(C37,Kommentarliste!$E$17:$N$71,Kommentarliste!$J$4,FALSE))</f>
        <v/>
      </c>
      <c r="E37" s="1927"/>
      <c r="F37" s="1927"/>
      <c r="G37" s="1927"/>
      <c r="H37" s="1927"/>
      <c r="I37" s="1927"/>
      <c r="J37" s="1927"/>
      <c r="K37" s="1928"/>
      <c r="L37" s="895"/>
    </row>
    <row r="38" spans="2:12" ht="55.15" customHeight="1" x14ac:dyDescent="0.2">
      <c r="B38" s="199" t="str">
        <f t="shared" si="0"/>
        <v>G</v>
      </c>
      <c r="C38" s="225">
        <v>21</v>
      </c>
      <c r="D38" s="1926" t="str">
        <f>IF(ISERROR(VLOOKUP(C38,Kommentarliste!$E$17:$N$71,Kommentarliste!$J$4,FALSE)),"",VLOOKUP(C38,Kommentarliste!$E$17:$N$71,Kommentarliste!$J$4,FALSE))</f>
        <v/>
      </c>
      <c r="E38" s="1927"/>
      <c r="F38" s="1927"/>
      <c r="G38" s="1927"/>
      <c r="H38" s="1927"/>
      <c r="I38" s="1927"/>
      <c r="J38" s="1927"/>
      <c r="K38" s="1928"/>
      <c r="L38" s="895"/>
    </row>
    <row r="39" spans="2:12" ht="55.15" customHeight="1" x14ac:dyDescent="0.2">
      <c r="C39" s="225">
        <v>22</v>
      </c>
      <c r="D39" s="1926" t="str">
        <f>IF(ISERROR(VLOOKUP(C39,Kommentarliste!$E$17:$N$71,Kommentarliste!$J$4,FALSE)),"",VLOOKUP(C39,Kommentarliste!$E$17:$N$71,Kommentarliste!$J$4,FALSE))</f>
        <v/>
      </c>
      <c r="E39" s="1927"/>
      <c r="F39" s="1927"/>
      <c r="G39" s="1927"/>
      <c r="H39" s="1927"/>
      <c r="I39" s="1927"/>
      <c r="J39" s="1927"/>
      <c r="K39" s="1928"/>
      <c r="L39" s="895"/>
    </row>
    <row r="40" spans="2:12" s="59" customFormat="1" ht="55.15" customHeight="1" x14ac:dyDescent="0.2">
      <c r="B40" s="199"/>
      <c r="C40" s="225">
        <v>23</v>
      </c>
      <c r="D40" s="1926" t="str">
        <f>IF(ISERROR(VLOOKUP(C40,Kommentarliste!$E$17:$N$71,Kommentarliste!$J$4,FALSE)),"",VLOOKUP(C40,Kommentarliste!$E$17:$N$71,Kommentarliste!$J$4,FALSE))</f>
        <v/>
      </c>
      <c r="E40" s="1927"/>
      <c r="F40" s="1927"/>
      <c r="G40" s="1927"/>
      <c r="H40" s="1927"/>
      <c r="I40" s="1927"/>
      <c r="J40" s="1927"/>
      <c r="K40" s="1928"/>
      <c r="L40" s="897"/>
    </row>
    <row r="41" spans="2:12" ht="55.15" customHeight="1" x14ac:dyDescent="0.2">
      <c r="B41" s="199" t="str">
        <f t="shared" ref="B41:B54" si="1">IF(D41="","G","")</f>
        <v>G</v>
      </c>
      <c r="C41" s="225">
        <v>24</v>
      </c>
      <c r="D41" s="1926" t="str">
        <f>IF(ISERROR(VLOOKUP(C41,Kommentarliste!$E$17:$N$71,Kommentarliste!$J$4,FALSE)),"",VLOOKUP(C41,Kommentarliste!$E$17:$N$71,Kommentarliste!$J$4,FALSE))</f>
        <v/>
      </c>
      <c r="E41" s="1927"/>
      <c r="F41" s="1927"/>
      <c r="G41" s="1927"/>
      <c r="H41" s="1927"/>
      <c r="I41" s="1927"/>
      <c r="J41" s="1927"/>
      <c r="K41" s="1928"/>
      <c r="L41" s="895"/>
    </row>
    <row r="42" spans="2:12" ht="55.15" customHeight="1" x14ac:dyDescent="0.2">
      <c r="B42" s="199" t="str">
        <f t="shared" si="1"/>
        <v>G</v>
      </c>
      <c r="C42" s="225">
        <v>25</v>
      </c>
      <c r="D42" s="1926" t="str">
        <f>IF(ISERROR(VLOOKUP(C42,Kommentarliste!$E$17:$N$71,Kommentarliste!$J$4,FALSE)),"",VLOOKUP(C42,Kommentarliste!$E$17:$N$71,Kommentarliste!$J$4,FALSE))</f>
        <v/>
      </c>
      <c r="E42" s="1927"/>
      <c r="F42" s="1927"/>
      <c r="G42" s="1927"/>
      <c r="H42" s="1927"/>
      <c r="I42" s="1927"/>
      <c r="J42" s="1927"/>
      <c r="K42" s="1928"/>
      <c r="L42" s="895"/>
    </row>
    <row r="43" spans="2:12" ht="55.15" customHeight="1" x14ac:dyDescent="0.2">
      <c r="B43" s="199" t="str">
        <f t="shared" si="1"/>
        <v>G</v>
      </c>
      <c r="C43" s="225">
        <v>26</v>
      </c>
      <c r="D43" s="1926" t="str">
        <f>IF(ISERROR(VLOOKUP(C43,Kommentarliste!$E$17:$N$71,Kommentarliste!$J$4,FALSE)),"",VLOOKUP(C43,Kommentarliste!$E$17:$N$71,Kommentarliste!$J$4,FALSE))</f>
        <v/>
      </c>
      <c r="E43" s="1927"/>
      <c r="F43" s="1927"/>
      <c r="G43" s="1927"/>
      <c r="H43" s="1927"/>
      <c r="I43" s="1927"/>
      <c r="J43" s="1927"/>
      <c r="K43" s="1928"/>
      <c r="L43" s="895"/>
    </row>
    <row r="44" spans="2:12" ht="55.15" customHeight="1" x14ac:dyDescent="0.2">
      <c r="B44" s="199" t="str">
        <f t="shared" si="1"/>
        <v>G</v>
      </c>
      <c r="C44" s="225">
        <v>27</v>
      </c>
      <c r="D44" s="1926" t="str">
        <f>IF(ISERROR(VLOOKUP(C44,Kommentarliste!$E$17:$N$71,Kommentarliste!$J$4,FALSE)),"",VLOOKUP(C44,Kommentarliste!$E$17:$N$71,Kommentarliste!$J$4,FALSE))</f>
        <v/>
      </c>
      <c r="E44" s="1927"/>
      <c r="F44" s="1927"/>
      <c r="G44" s="1927"/>
      <c r="H44" s="1927"/>
      <c r="I44" s="1927"/>
      <c r="J44" s="1927"/>
      <c r="K44" s="1928"/>
      <c r="L44" s="895"/>
    </row>
    <row r="45" spans="2:12" ht="55.15" customHeight="1" x14ac:dyDescent="0.2">
      <c r="B45" s="199" t="str">
        <f t="shared" si="1"/>
        <v>G</v>
      </c>
      <c r="C45" s="225">
        <v>28</v>
      </c>
      <c r="D45" s="1926" t="str">
        <f>IF(ISERROR(VLOOKUP(C45,Kommentarliste!$E$17:$N$71,Kommentarliste!$J$4,FALSE)),"",VLOOKUP(C45,Kommentarliste!$E$17:$N$71,Kommentarliste!$J$4,FALSE))</f>
        <v/>
      </c>
      <c r="E45" s="1927"/>
      <c r="F45" s="1927"/>
      <c r="G45" s="1927"/>
      <c r="H45" s="1927"/>
      <c r="I45" s="1927"/>
      <c r="J45" s="1927"/>
      <c r="K45" s="1928"/>
      <c r="L45" s="895"/>
    </row>
    <row r="46" spans="2:12" ht="55.15" customHeight="1" x14ac:dyDescent="0.2">
      <c r="B46" s="199" t="str">
        <f t="shared" si="1"/>
        <v>G</v>
      </c>
      <c r="C46" s="225">
        <v>29</v>
      </c>
      <c r="D46" s="1926" t="str">
        <f>IF(ISERROR(VLOOKUP(C46,Kommentarliste!$E$17:$N$71,Kommentarliste!$J$4,FALSE)),"",VLOOKUP(C46,Kommentarliste!$E$17:$N$71,Kommentarliste!$J$4,FALSE))</f>
        <v/>
      </c>
      <c r="E46" s="1927"/>
      <c r="F46" s="1927"/>
      <c r="G46" s="1927"/>
      <c r="H46" s="1927"/>
      <c r="I46" s="1927"/>
      <c r="J46" s="1927"/>
      <c r="K46" s="1928"/>
      <c r="L46" s="895"/>
    </row>
    <row r="47" spans="2:12" ht="55.15" customHeight="1" x14ac:dyDescent="0.2">
      <c r="B47" s="199" t="str">
        <f t="shared" si="1"/>
        <v>G</v>
      </c>
      <c r="C47" s="225">
        <v>30</v>
      </c>
      <c r="D47" s="1926" t="str">
        <f>IF(ISERROR(VLOOKUP(C47,Kommentarliste!$E$17:$N$71,Kommentarliste!$J$4,FALSE)),"",VLOOKUP(C47,Kommentarliste!$E$17:$N$71,Kommentarliste!$J$4,FALSE))</f>
        <v/>
      </c>
      <c r="E47" s="1927"/>
      <c r="F47" s="1927"/>
      <c r="G47" s="1927"/>
      <c r="H47" s="1927"/>
      <c r="I47" s="1927"/>
      <c r="J47" s="1927"/>
      <c r="K47" s="1928"/>
      <c r="L47" s="895"/>
    </row>
    <row r="48" spans="2:12" ht="55.15" customHeight="1" x14ac:dyDescent="0.2">
      <c r="B48" s="199" t="str">
        <f t="shared" si="1"/>
        <v>G</v>
      </c>
      <c r="C48" s="225">
        <v>31</v>
      </c>
      <c r="D48" s="1926" t="str">
        <f>IF(ISERROR(VLOOKUP(C48,Kommentarliste!$E$17:$N$71,Kommentarliste!$J$4,FALSE)),"",VLOOKUP(C48,Kommentarliste!$E$17:$N$71,Kommentarliste!$J$4,FALSE))</f>
        <v/>
      </c>
      <c r="E48" s="1927"/>
      <c r="F48" s="1927"/>
      <c r="G48" s="1927"/>
      <c r="H48" s="1927"/>
      <c r="I48" s="1927"/>
      <c r="J48" s="1927"/>
      <c r="K48" s="1928"/>
      <c r="L48" s="895"/>
    </row>
    <row r="49" spans="2:12" ht="55.15" customHeight="1" x14ac:dyDescent="0.2">
      <c r="B49" s="199" t="str">
        <f t="shared" si="1"/>
        <v>G</v>
      </c>
      <c r="C49" s="225">
        <v>32</v>
      </c>
      <c r="D49" s="1926" t="str">
        <f>IF(ISERROR(VLOOKUP(C49,Kommentarliste!$E$17:$N$71,Kommentarliste!$J$4,FALSE)),"",VLOOKUP(C49,Kommentarliste!$E$17:$N$71,Kommentarliste!$J$4,FALSE))</f>
        <v/>
      </c>
      <c r="E49" s="1927"/>
      <c r="F49" s="1927"/>
      <c r="G49" s="1927"/>
      <c r="H49" s="1927"/>
      <c r="I49" s="1927"/>
      <c r="J49" s="1927"/>
      <c r="K49" s="1928"/>
      <c r="L49" s="895"/>
    </row>
    <row r="50" spans="2:12" ht="55.15" customHeight="1" x14ac:dyDescent="0.2">
      <c r="B50" s="199" t="str">
        <f t="shared" si="1"/>
        <v>G</v>
      </c>
      <c r="C50" s="225">
        <v>33</v>
      </c>
      <c r="D50" s="1926" t="str">
        <f>IF(ISERROR(VLOOKUP(C50,Kommentarliste!$E$17:$N$71,Kommentarliste!$J$4,FALSE)),"",VLOOKUP(C50,Kommentarliste!$E$17:$N$71,Kommentarliste!$J$4,FALSE))</f>
        <v/>
      </c>
      <c r="E50" s="1927"/>
      <c r="F50" s="1927"/>
      <c r="G50" s="1927"/>
      <c r="H50" s="1927"/>
      <c r="I50" s="1927"/>
      <c r="J50" s="1927"/>
      <c r="K50" s="1928"/>
      <c r="L50" s="895"/>
    </row>
    <row r="51" spans="2:12" ht="55.15" customHeight="1" x14ac:dyDescent="0.2">
      <c r="B51" s="199" t="str">
        <f t="shared" si="1"/>
        <v>G</v>
      </c>
      <c r="C51" s="225">
        <v>34</v>
      </c>
      <c r="D51" s="1926" t="str">
        <f>IF(ISERROR(VLOOKUP(C51,Kommentarliste!$E$17:$N$71,Kommentarliste!$J$4,FALSE)),"",VLOOKUP(C51,Kommentarliste!$E$17:$N$71,Kommentarliste!$J$4,FALSE))</f>
        <v/>
      </c>
      <c r="E51" s="1927"/>
      <c r="F51" s="1927"/>
      <c r="G51" s="1927"/>
      <c r="H51" s="1927"/>
      <c r="I51" s="1927"/>
      <c r="J51" s="1927"/>
      <c r="K51" s="1928"/>
      <c r="L51" s="895"/>
    </row>
    <row r="52" spans="2:12" ht="55.15" customHeight="1" x14ac:dyDescent="0.2">
      <c r="B52" s="199" t="str">
        <f t="shared" si="1"/>
        <v>G</v>
      </c>
      <c r="C52" s="225">
        <v>35</v>
      </c>
      <c r="D52" s="1926" t="str">
        <f>IF(ISERROR(VLOOKUP(C52,Kommentarliste!$E$17:$N$71,Kommentarliste!$J$4,FALSE)),"",VLOOKUP(C52,Kommentarliste!$E$17:$N$71,Kommentarliste!$J$4,FALSE))</f>
        <v/>
      </c>
      <c r="E52" s="1927"/>
      <c r="F52" s="1927"/>
      <c r="G52" s="1927"/>
      <c r="H52" s="1927"/>
      <c r="I52" s="1927"/>
      <c r="J52" s="1927"/>
      <c r="K52" s="1928"/>
      <c r="L52" s="895"/>
    </row>
    <row r="53" spans="2:12" ht="55.15" customHeight="1" x14ac:dyDescent="0.2">
      <c r="B53" s="199" t="str">
        <f t="shared" si="1"/>
        <v>G</v>
      </c>
      <c r="C53" s="225">
        <v>36</v>
      </c>
      <c r="D53" s="1926" t="str">
        <f>IF(ISERROR(VLOOKUP(C53,Kommentarliste!$E$17:$N$71,Kommentarliste!$J$4,FALSE)),"",VLOOKUP(C53,Kommentarliste!$E$17:$N$71,Kommentarliste!$J$4,FALSE))</f>
        <v/>
      </c>
      <c r="E53" s="1927"/>
      <c r="F53" s="1927"/>
      <c r="G53" s="1927"/>
      <c r="H53" s="1927"/>
      <c r="I53" s="1927"/>
      <c r="J53" s="1927"/>
      <c r="K53" s="1928"/>
      <c r="L53" s="895"/>
    </row>
    <row r="54" spans="2:12" ht="55.15" customHeight="1" x14ac:dyDescent="0.2">
      <c r="B54" s="199" t="str">
        <f t="shared" si="1"/>
        <v>G</v>
      </c>
      <c r="C54" s="225">
        <v>37</v>
      </c>
      <c r="D54" s="1926" t="str">
        <f>IF(ISERROR(VLOOKUP(C54,Kommentarliste!$E$17:$N$71,Kommentarliste!$J$4,FALSE)),"",VLOOKUP(C54,Kommentarliste!$E$17:$N$71,Kommentarliste!$J$4,FALSE))</f>
        <v/>
      </c>
      <c r="E54" s="1927"/>
      <c r="F54" s="1927"/>
      <c r="G54" s="1927"/>
      <c r="H54" s="1927"/>
      <c r="I54" s="1927"/>
      <c r="J54" s="1927"/>
      <c r="K54" s="1928"/>
      <c r="L54" s="895"/>
    </row>
    <row r="55" spans="2:12" ht="55.15" customHeight="1" x14ac:dyDescent="0.2">
      <c r="C55" s="225">
        <v>38</v>
      </c>
      <c r="D55" s="1926" t="str">
        <f>IF(ISERROR(VLOOKUP(C55,Kommentarliste!$E$17:$N$71,Kommentarliste!$J$4,FALSE)),"",VLOOKUP(C55,Kommentarliste!$E$17:$N$71,Kommentarliste!$J$4,FALSE))</f>
        <v/>
      </c>
      <c r="E55" s="1927"/>
      <c r="F55" s="1927"/>
      <c r="G55" s="1927"/>
      <c r="H55" s="1927"/>
      <c r="I55" s="1927"/>
      <c r="J55" s="1927"/>
      <c r="K55" s="1928"/>
      <c r="L55" s="895"/>
    </row>
    <row r="56" spans="2:12" ht="55.15" customHeight="1" x14ac:dyDescent="0.2">
      <c r="C56" s="225">
        <v>39</v>
      </c>
      <c r="D56" s="1926" t="str">
        <f>IF(ISERROR(VLOOKUP(C56,Kommentarliste!$E$17:$N$71,Kommentarliste!$J$4,FALSE)),"",VLOOKUP(C56,Kommentarliste!$E$17:$N$71,Kommentarliste!$J$4,FALSE))</f>
        <v/>
      </c>
      <c r="E56" s="1927"/>
      <c r="F56" s="1927"/>
      <c r="G56" s="1927"/>
      <c r="H56" s="1927"/>
      <c r="I56" s="1927"/>
      <c r="J56" s="1927"/>
      <c r="K56" s="1928"/>
      <c r="L56" s="895"/>
    </row>
    <row r="57" spans="2:12" ht="55.15" customHeight="1" x14ac:dyDescent="0.2">
      <c r="C57" s="225">
        <v>40</v>
      </c>
      <c r="D57" s="1926" t="str">
        <f>IF(ISERROR(VLOOKUP(C57,Kommentarliste!$E$17:$N$71,Kommentarliste!$J$4,FALSE)),"",VLOOKUP(C57,Kommentarliste!$E$17:$N$71,Kommentarliste!$J$4,FALSE))</f>
        <v/>
      </c>
      <c r="E57" s="1927"/>
      <c r="F57" s="1927"/>
      <c r="G57" s="1927"/>
      <c r="H57" s="1927"/>
      <c r="I57" s="1927"/>
      <c r="J57" s="1927"/>
      <c r="K57" s="1928"/>
      <c r="L57" s="895"/>
    </row>
    <row r="58" spans="2:12" ht="55.15" customHeight="1" x14ac:dyDescent="0.2">
      <c r="C58" s="225">
        <v>41</v>
      </c>
      <c r="D58" s="1926" t="str">
        <f>IF(ISERROR(VLOOKUP(C58,Kommentarliste!$E$17:$N$71,Kommentarliste!$J$4,FALSE)),"",VLOOKUP(C58,Kommentarliste!$E$17:$N$71,Kommentarliste!$J$4,FALSE))</f>
        <v/>
      </c>
      <c r="E58" s="1927"/>
      <c r="F58" s="1927"/>
      <c r="G58" s="1927"/>
      <c r="H58" s="1927"/>
      <c r="I58" s="1927"/>
      <c r="J58" s="1927"/>
      <c r="K58" s="1928"/>
      <c r="L58" s="895"/>
    </row>
    <row r="59" spans="2:12" ht="55.15" customHeight="1" x14ac:dyDescent="0.2">
      <c r="C59" s="225">
        <v>42</v>
      </c>
      <c r="D59" s="1926" t="str">
        <f>IF(ISERROR(VLOOKUP(C59,Kommentarliste!$E$17:$N$71,Kommentarliste!$J$4,FALSE)),"",VLOOKUP(C59,Kommentarliste!$E$17:$N$71,Kommentarliste!$J$4,FALSE))</f>
        <v/>
      </c>
      <c r="E59" s="1927"/>
      <c r="F59" s="1927"/>
      <c r="G59" s="1927"/>
      <c r="H59" s="1927"/>
      <c r="I59" s="1927"/>
      <c r="J59" s="1927"/>
      <c r="K59" s="1928"/>
    </row>
    <row r="60" spans="2:12" x14ac:dyDescent="0.2">
      <c r="C60" s="225"/>
    </row>
    <row r="61" spans="2:12" x14ac:dyDescent="0.2">
      <c r="C61" s="225"/>
    </row>
    <row r="62" spans="2:12" x14ac:dyDescent="0.2">
      <c r="C62" s="225"/>
    </row>
    <row r="63" spans="2:12" x14ac:dyDescent="0.2">
      <c r="C63" s="225"/>
    </row>
    <row r="64" spans="2:12" x14ac:dyDescent="0.2">
      <c r="C64" s="225"/>
    </row>
    <row r="65" spans="3:3" x14ac:dyDescent="0.2">
      <c r="C65" s="225"/>
    </row>
    <row r="66" spans="3:3" x14ac:dyDescent="0.2">
      <c r="C66" s="225"/>
    </row>
  </sheetData>
  <sheetProtection password="8677" sheet="1" objects="1" scenarios="1"/>
  <mergeCells count="43">
    <mergeCell ref="I11:K12"/>
    <mergeCell ref="D57:K57"/>
    <mergeCell ref="D52:K52"/>
    <mergeCell ref="D53:K53"/>
    <mergeCell ref="D54:K54"/>
    <mergeCell ref="D48:K48"/>
    <mergeCell ref="D49:K49"/>
    <mergeCell ref="D50:K50"/>
    <mergeCell ref="D51:K51"/>
    <mergeCell ref="D55:K55"/>
    <mergeCell ref="D56:K56"/>
    <mergeCell ref="D40:K40"/>
    <mergeCell ref="D46:K46"/>
    <mergeCell ref="D47:K47"/>
    <mergeCell ref="D26:K26"/>
    <mergeCell ref="D37:K37"/>
    <mergeCell ref="D28:K28"/>
    <mergeCell ref="D29:K29"/>
    <mergeCell ref="D30:K30"/>
    <mergeCell ref="D58:K58"/>
    <mergeCell ref="D34:K34"/>
    <mergeCell ref="D38:K38"/>
    <mergeCell ref="D42:K42"/>
    <mergeCell ref="D43:K43"/>
    <mergeCell ref="D44:K44"/>
    <mergeCell ref="D41:K41"/>
    <mergeCell ref="D36:K36"/>
    <mergeCell ref="D59:K59"/>
    <mergeCell ref="D18:K18"/>
    <mergeCell ref="D19:K19"/>
    <mergeCell ref="D20:K20"/>
    <mergeCell ref="D21:K21"/>
    <mergeCell ref="D45:K45"/>
    <mergeCell ref="D33:K33"/>
    <mergeCell ref="D35:K35"/>
    <mergeCell ref="D22:K22"/>
    <mergeCell ref="D23:K23"/>
    <mergeCell ref="D24:K24"/>
    <mergeCell ref="D25:K25"/>
    <mergeCell ref="D31:K31"/>
    <mergeCell ref="D32:K32"/>
    <mergeCell ref="D39:K39"/>
    <mergeCell ref="D27:K27"/>
  </mergeCells>
  <conditionalFormatting sqref="D18:K18">
    <cfRule type="beginsWith" dxfId="45" priority="4" operator="beginsWith" text="Kommentare">
      <formula>LEFT(D18,LEN("Kommentare"))="Kommentare"</formula>
    </cfRule>
  </conditionalFormatting>
  <conditionalFormatting sqref="D19:K59">
    <cfRule type="beginsWith" dxfId="44" priority="1" operator="beginsWith" text="Kommentare">
      <formula>LEFT(D19,LEN("Kommentare"))="Kommentare"</formula>
    </cfRule>
  </conditionalFormatting>
  <pageMargins left="0.7" right="0.7" top="0.78740157499999996" bottom="0.78740157499999996" header="0.3" footer="0.3"/>
  <pageSetup paperSize="9" scale="84" orientation="portrait" verticalDpi="0" r:id="rId1"/>
  <colBreaks count="1" manualBreakCount="1">
    <brk id="11" max="1048575" man="1"/>
  </col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6">
    <tabColor theme="8" tint="-0.249977111117893"/>
  </sheetPr>
  <dimension ref="A1:AW56"/>
  <sheetViews>
    <sheetView showGridLines="0" zoomScaleNormal="100" workbookViewId="0">
      <pane ySplit="21" topLeftCell="A22" activePane="bottomLeft" state="frozen"/>
      <selection activeCell="A10" sqref="A10"/>
      <selection pane="bottomLeft" activeCell="F47" sqref="F47"/>
    </sheetView>
  </sheetViews>
  <sheetFormatPr baseColWidth="10" defaultRowHeight="14.25" x14ac:dyDescent="0.2"/>
  <cols>
    <col min="1" max="1" width="0.5" customWidth="1"/>
    <col min="2" max="2" width="2.75" customWidth="1"/>
    <col min="3" max="3" width="12" customWidth="1"/>
    <col min="8" max="9" width="15.375" customWidth="1"/>
    <col min="10" max="10" width="17.125" customWidth="1"/>
    <col min="11" max="11" width="12.25" hidden="1" customWidth="1"/>
    <col min="12" max="12" width="28.125" style="4" hidden="1" customWidth="1"/>
    <col min="13" max="13" width="15.5" hidden="1" customWidth="1"/>
    <col min="14" max="14" width="16.5" hidden="1" customWidth="1"/>
    <col min="15" max="15" width="34.875" hidden="1" customWidth="1"/>
    <col min="16" max="18" width="11.5" hidden="1" customWidth="1"/>
    <col min="19" max="19" width="18.75" hidden="1" customWidth="1"/>
    <col min="20" max="20" width="11.5" hidden="1" customWidth="1"/>
    <col min="21" max="21" width="37.625" hidden="1" customWidth="1"/>
    <col min="22" max="22" width="28.875" hidden="1" customWidth="1"/>
    <col min="23" max="23" width="11.25" hidden="1" customWidth="1"/>
    <col min="24" max="24" width="12" hidden="1" customWidth="1"/>
    <col min="25" max="25" width="12.5" hidden="1" customWidth="1"/>
    <col min="26" max="26" width="12" hidden="1" customWidth="1"/>
    <col min="27" max="27" width="11.5" hidden="1" customWidth="1"/>
    <col min="28" max="28" width="7.5" hidden="1" customWidth="1"/>
    <col min="29" max="29" width="32.875" hidden="1" customWidth="1"/>
    <col min="30" max="30" width="11.5" hidden="1" customWidth="1"/>
    <col min="31" max="31" width="6.375" hidden="1" customWidth="1"/>
    <col min="32" max="33" width="11.5" hidden="1" customWidth="1"/>
    <col min="34" max="48" width="0" hidden="1" customWidth="1"/>
  </cols>
  <sheetData>
    <row r="1" spans="3:49" ht="2.85" customHeight="1" x14ac:dyDescent="0.2"/>
    <row r="2" spans="3:49" ht="30.6" customHeight="1" x14ac:dyDescent="0.25">
      <c r="C2" s="396"/>
      <c r="D2" s="397"/>
      <c r="E2" s="397"/>
      <c r="F2" s="397"/>
      <c r="G2" s="397"/>
      <c r="H2" s="397"/>
      <c r="I2" s="397"/>
      <c r="J2" s="398"/>
      <c r="K2" s="896" t="s">
        <v>4402</v>
      </c>
      <c r="M2" s="75"/>
      <c r="N2" s="75"/>
      <c r="P2" s="4"/>
    </row>
    <row r="3" spans="3:49" ht="18" x14ac:dyDescent="0.25">
      <c r="C3" s="155" t="str">
        <f>Startmenue!C2</f>
        <v>Düngung BW</v>
      </c>
      <c r="D3" s="156"/>
      <c r="E3" s="156"/>
      <c r="F3" s="156"/>
      <c r="G3" s="156"/>
      <c r="H3" s="156"/>
      <c r="I3" s="156"/>
      <c r="J3" s="157" t="s">
        <v>1</v>
      </c>
      <c r="K3" s="895"/>
      <c r="R3" s="4"/>
      <c r="S3" s="4"/>
      <c r="T3" s="4"/>
    </row>
    <row r="4" spans="3:49" x14ac:dyDescent="0.2">
      <c r="C4" s="6" t="s">
        <v>4508</v>
      </c>
      <c r="D4" s="4"/>
      <c r="E4" s="4"/>
      <c r="F4" s="4"/>
      <c r="G4" s="4"/>
      <c r="H4" s="1715"/>
      <c r="I4" s="1715"/>
      <c r="J4" s="395"/>
      <c r="K4" s="895"/>
      <c r="R4" s="4"/>
      <c r="S4" s="4"/>
      <c r="T4" s="4"/>
    </row>
    <row r="5" spans="3:49" ht="15" x14ac:dyDescent="0.25">
      <c r="C5" s="104" t="str">
        <f>Startmenue!C4</f>
        <v>(EXCEL-Anwendung, Stand: 06/03/2018)</v>
      </c>
      <c r="D5" s="3"/>
      <c r="E5" s="3"/>
      <c r="F5" s="3"/>
      <c r="G5" s="1715" t="s">
        <v>3933</v>
      </c>
      <c r="H5" s="3"/>
      <c r="I5" s="3"/>
      <c r="J5" s="648" t="str">
        <f>Startmenue!G2</f>
        <v>Version 1.2</v>
      </c>
      <c r="K5" s="895"/>
      <c r="L5"/>
      <c r="R5" s="4"/>
      <c r="S5" s="4"/>
      <c r="T5" s="4"/>
    </row>
    <row r="6" spans="3:49" ht="2.1" customHeight="1" x14ac:dyDescent="0.2">
      <c r="C6" s="174"/>
      <c r="D6" s="163"/>
      <c r="E6" s="163"/>
      <c r="F6" s="163"/>
      <c r="G6" s="163"/>
      <c r="H6" s="163"/>
      <c r="I6" s="163"/>
      <c r="J6" s="175"/>
      <c r="K6" s="895"/>
      <c r="L6"/>
      <c r="O6" s="142"/>
      <c r="P6" s="4"/>
      <c r="Q6" s="4"/>
      <c r="R6" s="4"/>
      <c r="S6" s="4"/>
      <c r="T6" s="4"/>
    </row>
    <row r="7" spans="3:49" ht="2.1" customHeight="1" x14ac:dyDescent="0.2">
      <c r="C7" s="5"/>
      <c r="D7" s="4"/>
      <c r="E7" s="4"/>
      <c r="F7" s="4"/>
      <c r="G7" s="4"/>
      <c r="H7" s="4"/>
      <c r="I7" s="4"/>
      <c r="J7" s="10"/>
      <c r="K7" s="895"/>
      <c r="L7"/>
      <c r="O7" s="4"/>
      <c r="P7" s="4"/>
      <c r="T7" s="4"/>
    </row>
    <row r="8" spans="3:49" ht="2.1" customHeight="1" x14ac:dyDescent="0.2">
      <c r="C8" s="5"/>
      <c r="D8" s="4"/>
      <c r="E8" s="4"/>
      <c r="F8" s="4"/>
      <c r="G8" s="4"/>
      <c r="H8" s="4"/>
      <c r="I8" s="4"/>
      <c r="J8" s="10"/>
      <c r="K8" s="895"/>
      <c r="L8"/>
      <c r="O8" s="4"/>
      <c r="P8" s="4"/>
      <c r="T8" s="4"/>
    </row>
    <row r="9" spans="3:49" ht="13.7" x14ac:dyDescent="0.2">
      <c r="C9" s="418" t="s">
        <v>2</v>
      </c>
      <c r="D9" s="11"/>
      <c r="E9" s="11"/>
      <c r="F9" s="4"/>
      <c r="H9" s="4"/>
      <c r="I9" s="4"/>
      <c r="J9" s="10"/>
      <c r="K9" s="895"/>
      <c r="L9"/>
      <c r="O9" s="4"/>
      <c r="P9" s="4"/>
      <c r="T9" s="4"/>
    </row>
    <row r="10" spans="3:49" ht="15" x14ac:dyDescent="0.25">
      <c r="C10" s="5" t="s">
        <v>3941</v>
      </c>
      <c r="D10" s="4"/>
      <c r="E10" s="4"/>
      <c r="F10" s="4" t="s">
        <v>3943</v>
      </c>
      <c r="H10" s="4"/>
      <c r="I10" s="4"/>
      <c r="J10" s="10"/>
      <c r="K10" s="895"/>
      <c r="L10"/>
      <c r="O10" s="142"/>
      <c r="P10" s="4"/>
      <c r="T10" s="4"/>
    </row>
    <row r="11" spans="3:49" ht="4.1500000000000004" customHeight="1" thickBot="1" x14ac:dyDescent="0.25">
      <c r="C11" s="5"/>
      <c r="D11" s="4"/>
      <c r="E11" s="4"/>
      <c r="F11" s="4"/>
      <c r="G11" s="4"/>
      <c r="H11" s="4"/>
      <c r="I11" s="4"/>
      <c r="J11" s="10"/>
      <c r="K11" s="895"/>
      <c r="O11" s="142"/>
      <c r="P11" s="4"/>
      <c r="T11" s="4"/>
    </row>
    <row r="12" spans="3:49" s="59" customFormat="1" ht="13.7" customHeight="1" x14ac:dyDescent="0.25">
      <c r="C12" s="515" t="s">
        <v>3</v>
      </c>
      <c r="D12" s="516"/>
      <c r="E12" s="1938"/>
      <c r="F12" s="1939"/>
      <c r="G12" s="515" t="s">
        <v>4</v>
      </c>
      <c r="H12" s="1860"/>
      <c r="I12" s="1861"/>
      <c r="J12" s="1862"/>
      <c r="K12" s="897"/>
      <c r="L12" s="58"/>
      <c r="M12" s="316" t="s">
        <v>3667</v>
      </c>
      <c r="N12" s="317" t="s">
        <v>4213</v>
      </c>
      <c r="O12" s="58"/>
      <c r="P12" s="58"/>
      <c r="T12" s="58"/>
    </row>
    <row r="13" spans="3:49" s="59" customFormat="1" ht="13.7" customHeight="1" x14ac:dyDescent="0.25">
      <c r="C13" s="419" t="s">
        <v>5</v>
      </c>
      <c r="D13" s="420"/>
      <c r="E13" s="1868"/>
      <c r="F13" s="1869"/>
      <c r="G13" s="70"/>
      <c r="H13" s="1863"/>
      <c r="I13" s="1864"/>
      <c r="J13" s="1865"/>
      <c r="K13" s="897"/>
      <c r="L13" s="58"/>
      <c r="M13" s="318" t="s">
        <v>3668</v>
      </c>
      <c r="N13" s="319"/>
      <c r="O13" s="517"/>
      <c r="P13" s="4"/>
      <c r="Q13"/>
      <c r="R13"/>
      <c r="S13"/>
      <c r="T13"/>
    </row>
    <row r="14" spans="3:49" s="59" customFormat="1" ht="13.7" customHeight="1" x14ac:dyDescent="0.25">
      <c r="C14" s="419" t="s">
        <v>7</v>
      </c>
      <c r="D14" s="420"/>
      <c r="E14" s="1853"/>
      <c r="F14" s="1870"/>
      <c r="G14" s="419" t="s">
        <v>6</v>
      </c>
      <c r="H14" s="420"/>
      <c r="I14" s="1853"/>
      <c r="J14" s="1870"/>
      <c r="K14" s="897"/>
      <c r="L14" s="58"/>
      <c r="M14" s="318" t="s">
        <v>4305</v>
      </c>
      <c r="N14" s="319"/>
      <c r="O14" s="58"/>
      <c r="P14" s="4"/>
      <c r="Q14"/>
      <c r="R14"/>
      <c r="S14"/>
      <c r="T14"/>
    </row>
    <row r="15" spans="3:49" s="59" customFormat="1" ht="13.7" customHeight="1" x14ac:dyDescent="0.25">
      <c r="C15" s="419"/>
      <c r="D15" s="420"/>
      <c r="E15" s="1816"/>
      <c r="F15" s="1817"/>
      <c r="G15" s="419" t="s">
        <v>4905</v>
      </c>
      <c r="H15" s="1853"/>
      <c r="I15" s="1854"/>
      <c r="J15" s="427"/>
      <c r="K15" s="1823"/>
      <c r="L15" s="58"/>
      <c r="M15" s="318"/>
      <c r="N15" s="319"/>
      <c r="O15" s="58"/>
      <c r="P15" s="4"/>
      <c r="Q15"/>
      <c r="R15"/>
      <c r="S15"/>
      <c r="T15"/>
    </row>
    <row r="16" spans="3:49" s="59" customFormat="1" ht="13.7" customHeight="1" x14ac:dyDescent="0.2">
      <c r="C16" s="419" t="s">
        <v>9</v>
      </c>
      <c r="D16" s="420"/>
      <c r="E16" s="421"/>
      <c r="F16" s="519"/>
      <c r="G16" t="s">
        <v>4906</v>
      </c>
      <c r="H16" s="1853"/>
      <c r="I16" s="1854"/>
      <c r="J16" s="1940"/>
      <c r="K16" s="1941"/>
      <c r="L16" s="58"/>
      <c r="M16" s="321"/>
      <c r="N16" s="322"/>
      <c r="O16" s="58"/>
      <c r="P16" s="4"/>
      <c r="T16" s="4"/>
      <c r="AW16" s="57"/>
    </row>
    <row r="17" spans="3:31" s="59" customFormat="1" ht="13.7" customHeight="1" x14ac:dyDescent="0.2">
      <c r="C17" s="419" t="s">
        <v>11</v>
      </c>
      <c r="D17" s="420"/>
      <c r="E17" s="518"/>
      <c r="F17" s="519"/>
      <c r="G17" s="419" t="s">
        <v>4304</v>
      </c>
      <c r="H17" s="422"/>
      <c r="I17" s="467" t="str">
        <f ca="1">IFERROR(VLOOKUP(H16,OFFSET(Gemarkungen!$C$12,VLOOKUP(H15,Gemarkungen!$O$13:$R$1130,3,FALSE),0,VLOOKUP(H15, Gemarkungen!$O$13:$R$1130,4,FALSE)-VLOOKUP(H15,Gemarkungen!$O$13:$R$1130,3,FALSE)+1,4),4,FALSE),"Gemeinde und Gemarkung auswählen!")</f>
        <v>Gemeinde und Gemarkung auswählen!</v>
      </c>
      <c r="J17" s="420"/>
      <c r="K17" s="898"/>
      <c r="L17" s="58"/>
      <c r="M17" s="478"/>
      <c r="N17" s="479"/>
      <c r="O17" s="58"/>
      <c r="P17" s="4"/>
      <c r="T17" s="4"/>
    </row>
    <row r="18" spans="3:31" s="59" customFormat="1" ht="4.1500000000000004" customHeight="1" x14ac:dyDescent="0.2">
      <c r="C18" s="57"/>
      <c r="D18" s="58"/>
      <c r="E18" s="58"/>
      <c r="F18" s="58"/>
      <c r="G18" s="58"/>
      <c r="H18" s="58"/>
      <c r="I18" s="58"/>
      <c r="J18" s="61"/>
      <c r="K18" s="897"/>
      <c r="L18" s="58"/>
      <c r="M18" s="478"/>
      <c r="N18" s="479"/>
      <c r="O18" s="58"/>
      <c r="P18" s="4"/>
      <c r="T18" s="4"/>
    </row>
    <row r="19" spans="3:31" s="59" customFormat="1" ht="13.7" customHeight="1" x14ac:dyDescent="0.2">
      <c r="C19" s="334" t="s">
        <v>12</v>
      </c>
      <c r="D19" s="335"/>
      <c r="E19" s="335"/>
      <c r="F19" s="335"/>
      <c r="G19" s="335"/>
      <c r="H19" s="335"/>
      <c r="I19" s="335"/>
      <c r="J19" s="336"/>
      <c r="K19" s="897"/>
      <c r="L19" s="58"/>
      <c r="M19" s="478"/>
      <c r="N19" s="479"/>
      <c r="O19" s="58"/>
      <c r="P19" s="4"/>
      <c r="T19" s="4"/>
    </row>
    <row r="20" spans="3:31" s="59" customFormat="1" ht="13.7" customHeight="1" x14ac:dyDescent="0.2">
      <c r="C20" s="503"/>
      <c r="D20" s="487"/>
      <c r="E20" s="487"/>
      <c r="F20" s="487"/>
      <c r="G20" s="487"/>
      <c r="H20" s="487"/>
      <c r="I20" s="487"/>
      <c r="J20" s="488"/>
      <c r="K20" s="897"/>
      <c r="L20" s="58"/>
      <c r="M20" s="478"/>
      <c r="N20" s="479"/>
      <c r="O20" s="58"/>
      <c r="P20" s="4"/>
      <c r="S20" s="142"/>
      <c r="T20" s="4"/>
    </row>
    <row r="21" spans="3:31" s="59" customFormat="1" ht="13.7" customHeight="1" x14ac:dyDescent="0.2">
      <c r="C21" s="103" t="s">
        <v>4320</v>
      </c>
      <c r="D21" s="520" t="s">
        <v>14</v>
      </c>
      <c r="E21" s="521"/>
      <c r="F21" s="420"/>
      <c r="G21" s="58"/>
      <c r="H21" s="58"/>
      <c r="I21" s="489" t="s">
        <v>15</v>
      </c>
      <c r="J21" s="522"/>
      <c r="K21" s="897"/>
      <c r="L21" s="58" t="s">
        <v>13</v>
      </c>
      <c r="M21" s="482">
        <v>1</v>
      </c>
      <c r="N21" s="465">
        <v>1</v>
      </c>
      <c r="P21" s="4"/>
      <c r="S21" s="4"/>
      <c r="T21" s="4"/>
    </row>
    <row r="22" spans="3:31" s="59" customFormat="1" ht="13.7" customHeight="1" x14ac:dyDescent="0.2">
      <c r="C22" s="57"/>
      <c r="D22" s="58"/>
      <c r="E22" s="58"/>
      <c r="F22" s="58"/>
      <c r="G22" s="58"/>
      <c r="H22" s="58"/>
      <c r="I22" s="58"/>
      <c r="J22" s="61"/>
      <c r="K22" s="897"/>
      <c r="L22" s="58" t="s">
        <v>3506</v>
      </c>
      <c r="M22" s="482">
        <v>1</v>
      </c>
      <c r="N22" s="465">
        <v>1</v>
      </c>
      <c r="P22" s="58"/>
      <c r="S22" s="4"/>
      <c r="T22" s="58"/>
    </row>
    <row r="23" spans="3:31" s="59" customFormat="1" ht="13.7" customHeight="1" x14ac:dyDescent="0.2">
      <c r="C23" s="467" t="s">
        <v>4328</v>
      </c>
      <c r="D23" s="425"/>
      <c r="E23" s="490"/>
      <c r="F23" s="420"/>
      <c r="G23" s="58"/>
      <c r="H23" s="1670" t="str">
        <f>IF(Nachlieferung_Leg!K45=0,"Ertragsanteil Leguminosen fehlt !","")</f>
        <v>Ertragsanteil Leguminosen fehlt !</v>
      </c>
      <c r="I23" s="58"/>
      <c r="J23" s="61"/>
      <c r="K23" s="897"/>
      <c r="L23" s="58"/>
      <c r="M23" s="478">
        <f>IF(Nachlieferung_Leg!B42=15,2,M22)</f>
        <v>1</v>
      </c>
      <c r="N23" s="479"/>
      <c r="O23" s="58"/>
      <c r="P23"/>
      <c r="Q23"/>
      <c r="R23"/>
      <c r="S23" s="4"/>
      <c r="T23" s="58"/>
    </row>
    <row r="24" spans="3:31" s="59" customFormat="1" ht="13.7" customHeight="1" x14ac:dyDescent="0.2">
      <c r="C24" s="57"/>
      <c r="D24" s="58"/>
      <c r="E24" s="517"/>
      <c r="F24" s="58"/>
      <c r="G24" s="58"/>
      <c r="H24" s="58"/>
      <c r="I24" s="58"/>
      <c r="J24" s="61"/>
      <c r="K24" s="897"/>
      <c r="L24" s="58"/>
      <c r="M24" s="478"/>
      <c r="N24" s="479"/>
      <c r="O24" s="58"/>
      <c r="P24"/>
      <c r="Q24"/>
      <c r="R24"/>
      <c r="S24" s="142"/>
      <c r="T24" s="58"/>
    </row>
    <row r="25" spans="3:31" s="59" customFormat="1" ht="13.7" customHeight="1" x14ac:dyDescent="0.25">
      <c r="C25" s="481" t="s">
        <v>4332</v>
      </c>
      <c r="D25" s="420"/>
      <c r="E25" s="58"/>
      <c r="F25" s="58"/>
      <c r="G25" s="58"/>
      <c r="H25" s="475"/>
      <c r="I25" s="476" t="str">
        <f>AC27</f>
        <v/>
      </c>
      <c r="J25" s="477"/>
      <c r="K25" s="897"/>
      <c r="L25" s="58"/>
      <c r="M25" s="478"/>
      <c r="N25" s="479"/>
      <c r="P25"/>
      <c r="Q25"/>
      <c r="R25"/>
      <c r="S25" s="558" t="s">
        <v>4357</v>
      </c>
      <c r="T25" s="207"/>
      <c r="U25" s="207"/>
      <c r="V25" s="207"/>
      <c r="W25" s="554" t="str">
        <f>C26</f>
        <v>letztes Jahr</v>
      </c>
      <c r="X25" s="554" t="str">
        <f>C27</f>
        <v>vor 2 Jahren</v>
      </c>
      <c r="Y25" s="554" t="str">
        <f>C28</f>
        <v xml:space="preserve">vor 3 Jahren </v>
      </c>
      <c r="Z25" s="554" t="str">
        <f>C29</f>
        <v>vor 4 Jahren</v>
      </c>
      <c r="AA25" s="207"/>
      <c r="AB25" s="207"/>
      <c r="AC25" s="555" t="s">
        <v>4252</v>
      </c>
      <c r="AD25" s="556"/>
      <c r="AE25" s="557"/>
    </row>
    <row r="26" spans="3:31" s="59" customFormat="1" ht="13.7" customHeight="1" x14ac:dyDescent="0.2">
      <c r="C26" s="424" t="s">
        <v>3938</v>
      </c>
      <c r="D26" s="462"/>
      <c r="E26" s="472" t="str">
        <f>IF(W29=1,W28,"")</f>
        <v/>
      </c>
      <c r="F26" s="492" t="str">
        <f>IF(W29=0,"",AC25)</f>
        <v/>
      </c>
      <c r="G26" s="425"/>
      <c r="H26" s="420"/>
      <c r="I26" s="399" t="s">
        <v>3590</v>
      </c>
      <c r="J26" s="489" t="str">
        <f>IF(W27=0,"",IF(OR(W29=0,I26="Nein"),D26,D27))</f>
        <v/>
      </c>
      <c r="K26" s="897"/>
      <c r="L26" s="58"/>
      <c r="M26" s="478"/>
      <c r="N26" s="479"/>
      <c r="S26" s="209"/>
      <c r="T26" s="58"/>
      <c r="U26" s="58"/>
      <c r="V26" s="58"/>
      <c r="W26" s="545" t="str">
        <f>IF(D26="","",D26)</f>
        <v/>
      </c>
      <c r="X26" s="545" t="str">
        <f>IF(D27="","",D27)</f>
        <v/>
      </c>
      <c r="Y26" s="545" t="str">
        <f>IF(D28="","",D28)</f>
        <v/>
      </c>
      <c r="Z26" s="545" t="str">
        <f>IF(D29="","",D29)</f>
        <v/>
      </c>
      <c r="AA26" s="58"/>
      <c r="AB26" s="496" t="s">
        <v>3779</v>
      </c>
      <c r="AC26" s="497" t="s">
        <v>4326</v>
      </c>
      <c r="AD26" s="498"/>
      <c r="AE26" s="544"/>
    </row>
    <row r="27" spans="3:31" s="59" customFormat="1" ht="13.7" customHeight="1" x14ac:dyDescent="0.2">
      <c r="C27" s="424" t="s">
        <v>16</v>
      </c>
      <c r="D27" s="462"/>
      <c r="E27" s="472" t="str">
        <f>IF(X29=1,X28,"")</f>
        <v/>
      </c>
      <c r="F27" s="492" t="str">
        <f>IF(X29=0,"",AC25)</f>
        <v/>
      </c>
      <c r="G27" s="425"/>
      <c r="H27" s="420"/>
      <c r="I27" s="399" t="s">
        <v>3590</v>
      </c>
      <c r="J27" s="489" t="str">
        <f>IF(X27=0,"",IF(OR(X29=0,I27="Nein"),D27,D28))</f>
        <v/>
      </c>
      <c r="K27" s="897"/>
      <c r="L27" s="58"/>
      <c r="M27" s="478"/>
      <c r="N27" s="479"/>
      <c r="S27" s="209"/>
      <c r="T27" s="58"/>
      <c r="U27" s="58"/>
      <c r="V27" s="433" t="s">
        <v>4249</v>
      </c>
      <c r="W27" s="500">
        <f>IF(W26="",0,1)</f>
        <v>0</v>
      </c>
      <c r="X27" s="500">
        <f>IF(X26="",0,1)</f>
        <v>0</v>
      </c>
      <c r="Y27" s="500">
        <f>IF(Y26="",0,1)</f>
        <v>0</v>
      </c>
      <c r="Z27" s="500">
        <f>IF(Z26="",0,1)</f>
        <v>0</v>
      </c>
      <c r="AA27" s="58"/>
      <c r="AB27" s="496" t="s">
        <v>4248</v>
      </c>
      <c r="AC27" s="499" t="str">
        <f>IF(OR(W31="ja",X31="Ja",Y31="Ja"),AC26,"")</f>
        <v/>
      </c>
      <c r="AD27" s="500"/>
      <c r="AE27" s="546"/>
    </row>
    <row r="28" spans="3:31" s="59" customFormat="1" ht="13.7" customHeight="1" x14ac:dyDescent="0.2">
      <c r="C28" s="424" t="s">
        <v>17</v>
      </c>
      <c r="D28" s="462"/>
      <c r="E28" s="472" t="str">
        <f>IF(Y29=1,Y28,"")</f>
        <v/>
      </c>
      <c r="F28" s="492" t="str">
        <f>IF(Y29=0,"",AC25)</f>
        <v/>
      </c>
      <c r="G28" s="425"/>
      <c r="H28" s="420"/>
      <c r="I28" s="399" t="s">
        <v>3590</v>
      </c>
      <c r="J28" s="489" t="str">
        <f>IF(Y27=0,"",IF(OR(Y29=0,I28="Nein"),D28,D29))</f>
        <v/>
      </c>
      <c r="K28" s="897"/>
      <c r="L28" s="58"/>
      <c r="M28" s="478"/>
      <c r="N28" s="479"/>
      <c r="S28" s="209"/>
      <c r="T28" s="58"/>
      <c r="U28" s="58"/>
      <c r="V28" s="433" t="s">
        <v>4251</v>
      </c>
      <c r="W28" s="547" t="str">
        <f>IF(OR(W27=0,X27=0),"",IF(OR(W26=0,X26=0),100%,(ABS(W26-X26)/X26)))</f>
        <v/>
      </c>
      <c r="X28" s="547" t="str">
        <f>IF(OR(X27=0,Y27=0),"",IF(OR(X26=0,Y26=0),100%,(ABS(X26-Y26)/Y26)))</f>
        <v/>
      </c>
      <c r="Y28" s="547" t="str">
        <f>IF(OR(Y27=0,Z27=0),"",IF(OR(Y26=0,Z26=0),100%,(ABS(Y26-Z26)/Z26)))</f>
        <v/>
      </c>
      <c r="Z28" s="547"/>
      <c r="AA28" s="58"/>
      <c r="AB28" s="58"/>
      <c r="AC28" s="58"/>
      <c r="AD28" s="58"/>
      <c r="AE28" s="211"/>
    </row>
    <row r="29" spans="3:31" s="59" customFormat="1" ht="13.7" customHeight="1" x14ac:dyDescent="0.2">
      <c r="C29" s="424" t="s">
        <v>18</v>
      </c>
      <c r="D29" s="462"/>
      <c r="E29" s="472"/>
      <c r="F29" s="492"/>
      <c r="G29" s="425"/>
      <c r="H29" s="420"/>
      <c r="I29" s="468" t="s">
        <v>3937</v>
      </c>
      <c r="J29" s="523" t="str">
        <f>IF(OR(W27=0,X27=0,Y27=0),"",(J26+J27+J28)/3)</f>
        <v/>
      </c>
      <c r="K29" s="897"/>
      <c r="L29" s="58"/>
      <c r="M29" s="478"/>
      <c r="N29" s="479"/>
      <c r="S29" s="209"/>
      <c r="T29" s="58"/>
      <c r="U29" s="433" t="s">
        <v>4250</v>
      </c>
      <c r="V29" s="548">
        <v>0.2</v>
      </c>
      <c r="W29" s="500">
        <f>IF(AND(W27=1,X27=1,W28&gt;$V$29),1,0)</f>
        <v>0</v>
      </c>
      <c r="X29" s="500">
        <f>IF(AND(X27=1,Y27=1,X28&gt;$V$29),1,0)</f>
        <v>0</v>
      </c>
      <c r="Y29" s="500">
        <f>IF(AND(Y27=1,Z27=1,Y28&gt;$V$29),1,0)</f>
        <v>0</v>
      </c>
      <c r="Z29" s="500"/>
      <c r="AA29" s="58"/>
      <c r="AB29" s="58"/>
      <c r="AC29" s="58"/>
      <c r="AD29" s="58"/>
      <c r="AE29" s="211"/>
    </row>
    <row r="30" spans="3:31" s="59" customFormat="1" ht="13.7" customHeight="1" x14ac:dyDescent="0.2">
      <c r="C30" s="524"/>
      <c r="D30" s="525"/>
      <c r="E30" s="525"/>
      <c r="F30" s="492"/>
      <c r="G30" s="526"/>
      <c r="H30" s="526"/>
      <c r="I30" s="425"/>
      <c r="J30" s="420"/>
      <c r="K30" s="897"/>
      <c r="L30" s="58"/>
      <c r="M30" s="478"/>
      <c r="N30" s="479"/>
      <c r="S30" s="209"/>
      <c r="T30" s="58"/>
      <c r="U30" s="58"/>
      <c r="V30" s="549" t="s">
        <v>4247</v>
      </c>
      <c r="W30" s="550" t="str">
        <f>IF(W$29=1,"Nein","")</f>
        <v/>
      </c>
      <c r="X30" s="550" t="str">
        <f>IF(X$29=1,"Nein","")</f>
        <v/>
      </c>
      <c r="Y30" s="550" t="str">
        <f>IF(Y$29=1,"Nein","")</f>
        <v/>
      </c>
      <c r="Z30" s="500"/>
      <c r="AA30" s="58"/>
      <c r="AB30" s="58"/>
      <c r="AC30" s="58"/>
      <c r="AD30" s="58"/>
      <c r="AE30" s="211"/>
    </row>
    <row r="31" spans="3:31" s="59" customFormat="1" ht="13.7" customHeight="1" x14ac:dyDescent="0.2">
      <c r="C31" s="501" t="s">
        <v>3939</v>
      </c>
      <c r="D31" s="425"/>
      <c r="E31" s="425"/>
      <c r="F31" s="425"/>
      <c r="G31" s="420"/>
      <c r="H31" s="419"/>
      <c r="I31" s="502" t="s">
        <v>3487</v>
      </c>
      <c r="J31" s="462"/>
      <c r="K31" s="897"/>
      <c r="L31" s="58"/>
      <c r="M31" s="478"/>
      <c r="N31" s="479"/>
      <c r="S31" s="209"/>
      <c r="T31" s="58"/>
      <c r="U31" s="58"/>
      <c r="V31" s="58" t="s">
        <v>3838</v>
      </c>
      <c r="W31" s="550" t="str">
        <f>IF(W$29=1,"Ja","")</f>
        <v/>
      </c>
      <c r="X31" s="550" t="str">
        <f>IF(X$29=1,"Ja","")</f>
        <v/>
      </c>
      <c r="Y31" s="550" t="str">
        <f>IF(Y$29=1,"Ja","")</f>
        <v/>
      </c>
      <c r="Z31" s="500"/>
      <c r="AA31" s="58"/>
      <c r="AB31" s="58"/>
      <c r="AC31" s="58"/>
      <c r="AD31" s="58"/>
      <c r="AE31" s="211"/>
    </row>
    <row r="32" spans="3:31" s="59" customFormat="1" ht="13.7" customHeight="1" x14ac:dyDescent="0.2">
      <c r="C32" s="501"/>
      <c r="D32" s="525"/>
      <c r="E32" s="527"/>
      <c r="F32" s="528"/>
      <c r="G32" s="528"/>
      <c r="H32" s="238"/>
      <c r="I32" s="529"/>
      <c r="J32" s="530"/>
      <c r="K32" s="897"/>
      <c r="L32" s="58"/>
      <c r="M32" s="478"/>
      <c r="N32" s="479"/>
      <c r="S32" s="209"/>
      <c r="T32" s="58"/>
      <c r="U32" s="58"/>
      <c r="V32" s="58"/>
      <c r="W32" s="500"/>
      <c r="X32" s="500"/>
      <c r="Y32" s="500"/>
      <c r="Z32" s="500"/>
      <c r="AA32" s="58"/>
      <c r="AB32" s="58"/>
      <c r="AC32" s="58"/>
      <c r="AD32" s="58"/>
      <c r="AE32" s="211"/>
    </row>
    <row r="33" spans="3:31" s="59" customFormat="1" ht="13.7" customHeight="1" x14ac:dyDescent="0.2">
      <c r="C33" s="471" t="s">
        <v>4148</v>
      </c>
      <c r="D33" s="472"/>
      <c r="E33" s="473"/>
      <c r="F33" s="474"/>
      <c r="G33" s="475"/>
      <c r="H33" s="475"/>
      <c r="I33" s="476" t="str">
        <f>AC35</f>
        <v/>
      </c>
      <c r="J33" s="477"/>
      <c r="K33" s="897"/>
      <c r="L33" s="58"/>
      <c r="M33" s="478"/>
      <c r="N33" s="479"/>
      <c r="S33" s="559" t="s">
        <v>4360</v>
      </c>
      <c r="T33" s="58"/>
      <c r="U33" s="58"/>
      <c r="V33" s="58"/>
      <c r="W33" s="480" t="str">
        <f>C34</f>
        <v>letztes Jahr</v>
      </c>
      <c r="X33" s="480" t="str">
        <f>C35</f>
        <v>vor 2 Jahren</v>
      </c>
      <c r="Y33" s="480" t="str">
        <f>C36</f>
        <v xml:space="preserve">vor 3 Jahren </v>
      </c>
      <c r="Z33" s="480" t="str">
        <f>C37</f>
        <v>vor 4 Jahren</v>
      </c>
      <c r="AA33" s="58"/>
      <c r="AB33" s="58"/>
      <c r="AC33" s="497" t="s">
        <v>4252</v>
      </c>
      <c r="AD33" s="498"/>
      <c r="AE33" s="544"/>
    </row>
    <row r="34" spans="3:31" s="59" customFormat="1" ht="13.7" customHeight="1" x14ac:dyDescent="0.2">
      <c r="C34" s="424" t="s">
        <v>3938</v>
      </c>
      <c r="D34" s="462"/>
      <c r="E34" s="472" t="str">
        <f>IF(W37=1,W36,"")</f>
        <v/>
      </c>
      <c r="F34" s="492" t="str">
        <f>IF(W37=0,"",$AC$33)</f>
        <v/>
      </c>
      <c r="G34" s="425"/>
      <c r="H34" s="420"/>
      <c r="I34" s="399" t="s">
        <v>3593</v>
      </c>
      <c r="J34" s="489" t="str">
        <f>IF(W35=0,"",IF(OR(W37=0,I34="Nein"),D34,D35))</f>
        <v/>
      </c>
      <c r="K34" s="897"/>
      <c r="L34" s="58"/>
      <c r="M34" s="478"/>
      <c r="N34" s="479"/>
      <c r="S34" s="209"/>
      <c r="T34" s="58"/>
      <c r="U34" s="58"/>
      <c r="V34" s="58"/>
      <c r="W34" s="545" t="str">
        <f>IF(D34="","",D34)</f>
        <v/>
      </c>
      <c r="X34" s="545" t="str">
        <f>IF(D35="","",D35)</f>
        <v/>
      </c>
      <c r="Y34" s="545" t="str">
        <f>IF(D36="","",D36)</f>
        <v/>
      </c>
      <c r="Z34" s="545" t="str">
        <f>IF(D37="","",D37)</f>
        <v/>
      </c>
      <c r="AA34" s="58"/>
      <c r="AB34" s="496" t="s">
        <v>3779</v>
      </c>
      <c r="AC34" s="497" t="s">
        <v>4326</v>
      </c>
      <c r="AD34" s="498"/>
      <c r="AE34" s="544"/>
    </row>
    <row r="35" spans="3:31" s="59" customFormat="1" ht="13.7" customHeight="1" x14ac:dyDescent="0.2">
      <c r="C35" s="424" t="s">
        <v>16</v>
      </c>
      <c r="D35" s="462"/>
      <c r="E35" s="472" t="str">
        <f>IF(X37=1,X36,"")</f>
        <v/>
      </c>
      <c r="F35" s="492" t="str">
        <f>IF(X37=0,"",$AC$33)</f>
        <v/>
      </c>
      <c r="G35" s="425"/>
      <c r="H35" s="420"/>
      <c r="I35" s="399" t="s">
        <v>3590</v>
      </c>
      <c r="J35" s="489" t="str">
        <f>IF(X35=0,"",IF(OR(X37=0,I35="Nein"),D35,D36))</f>
        <v/>
      </c>
      <c r="K35" s="897"/>
      <c r="L35" s="58"/>
      <c r="M35" s="478"/>
      <c r="N35" s="479"/>
      <c r="S35" s="209"/>
      <c r="T35" s="58"/>
      <c r="U35" s="58"/>
      <c r="V35" s="433" t="s">
        <v>4249</v>
      </c>
      <c r="W35" s="500">
        <f>IF(W34="",0,1)</f>
        <v>0</v>
      </c>
      <c r="X35" s="500">
        <f>IF(X34="",0,1)</f>
        <v>0</v>
      </c>
      <c r="Y35" s="500">
        <f>IF(Y34="",0,1)</f>
        <v>0</v>
      </c>
      <c r="Z35" s="500">
        <f>IF(Z34="",0,1)</f>
        <v>0</v>
      </c>
      <c r="AA35" s="58"/>
      <c r="AB35" s="496" t="s">
        <v>4248</v>
      </c>
      <c r="AC35" s="499" t="str">
        <f>IF(OR(W39="ja",X39="Ja",Y39="Ja"),AC34,"")</f>
        <v/>
      </c>
      <c r="AD35" s="500"/>
      <c r="AE35" s="546"/>
    </row>
    <row r="36" spans="3:31" s="59" customFormat="1" ht="13.7" customHeight="1" x14ac:dyDescent="0.2">
      <c r="C36" s="424" t="s">
        <v>17</v>
      </c>
      <c r="D36" s="462"/>
      <c r="E36" s="472" t="str">
        <f>IF(Y37=1,Y36,"")</f>
        <v/>
      </c>
      <c r="F36" s="492" t="str">
        <f>IF(Y37=0,"",$AC$33)</f>
        <v/>
      </c>
      <c r="G36" s="425"/>
      <c r="H36" s="420"/>
      <c r="I36" s="399" t="s">
        <v>3593</v>
      </c>
      <c r="J36" s="489" t="str">
        <f>IF(Y35=0,"",IF(OR(Y37=0,I36="Nein"),D36,D37))</f>
        <v/>
      </c>
      <c r="K36" s="897"/>
      <c r="L36" s="58"/>
      <c r="M36" s="478"/>
      <c r="N36" s="479"/>
      <c r="O36" s="58"/>
      <c r="P36" s="58"/>
      <c r="Q36" s="58"/>
      <c r="R36" s="58"/>
      <c r="S36" s="209"/>
      <c r="T36" s="58"/>
      <c r="U36" s="58"/>
      <c r="V36" s="433" t="s">
        <v>4251</v>
      </c>
      <c r="W36" s="547" t="str">
        <f>IF(OR(W35=0,X35=0),"",IF(OR(W34=0,X34=0),100%,(ABS(W34-X34)/X34)))</f>
        <v/>
      </c>
      <c r="X36" s="547" t="str">
        <f>IF(OR(X35=0,Y35=0),"",IF(OR(X34=0,Y34=0),100%,(ABS(X34-Y34)/Y34)))</f>
        <v/>
      </c>
      <c r="Y36" s="547" t="str">
        <f>IF(OR(Y35=0,Z35=0),"",IF(OR(Y34=0,Z34=0),100%,(ABS(Y34-Z34)/Z34)))</f>
        <v/>
      </c>
      <c r="Z36" s="547"/>
      <c r="AA36" s="58"/>
      <c r="AB36" s="58"/>
      <c r="AC36" s="58"/>
      <c r="AD36" s="58"/>
      <c r="AE36" s="211"/>
    </row>
    <row r="37" spans="3:31" s="59" customFormat="1" ht="13.7" customHeight="1" x14ac:dyDescent="0.2">
      <c r="C37" s="424" t="s">
        <v>18</v>
      </c>
      <c r="D37" s="462"/>
      <c r="E37" s="472"/>
      <c r="F37" s="492"/>
      <c r="G37" s="425"/>
      <c r="H37" s="420"/>
      <c r="I37" s="468" t="s">
        <v>3937</v>
      </c>
      <c r="J37" s="523" t="str">
        <f>IF(OR(W35=0,X35=0,Y35=0),"",(J34+J35+J36)/3)</f>
        <v/>
      </c>
      <c r="K37" s="897"/>
      <c r="L37" s="58"/>
      <c r="M37" s="478"/>
      <c r="N37" s="479"/>
      <c r="O37" s="58"/>
      <c r="P37" s="58"/>
      <c r="Q37" s="58"/>
      <c r="R37" s="58"/>
      <c r="S37" s="209"/>
      <c r="T37" s="58"/>
      <c r="U37" s="433" t="s">
        <v>4250</v>
      </c>
      <c r="V37" s="548">
        <v>0.2</v>
      </c>
      <c r="W37" s="500">
        <f>IF(AND(W35=1,X35=1,W36&gt;$V$37),1,0)</f>
        <v>0</v>
      </c>
      <c r="X37" s="500">
        <f>IF(AND(X35=1,Y35=1,X36&gt;$V$37),1,0)</f>
        <v>0</v>
      </c>
      <c r="Y37" s="500">
        <f>IF(AND(Y35=1,Z35=1,Y36&gt;$V$37),1,0)</f>
        <v>0</v>
      </c>
      <c r="Z37" s="500"/>
      <c r="AA37" s="58"/>
      <c r="AB37" s="58"/>
      <c r="AC37" s="58"/>
      <c r="AD37" s="58"/>
      <c r="AE37" s="211"/>
    </row>
    <row r="38" spans="3:31" s="59" customFormat="1" ht="13.7" customHeight="1" x14ac:dyDescent="0.2">
      <c r="C38" s="57"/>
      <c r="D38" s="531"/>
      <c r="E38" s="531"/>
      <c r="F38" s="487"/>
      <c r="G38" s="487"/>
      <c r="H38" s="526"/>
      <c r="I38" s="425"/>
      <c r="J38" s="420"/>
      <c r="K38" s="897"/>
      <c r="L38" s="58"/>
      <c r="M38" s="478"/>
      <c r="N38" s="479"/>
      <c r="O38" s="58"/>
      <c r="P38" s="58"/>
      <c r="Q38" s="58"/>
      <c r="R38" s="58"/>
      <c r="S38" s="209"/>
      <c r="T38" s="58"/>
      <c r="U38" s="58"/>
      <c r="V38" s="549" t="s">
        <v>4247</v>
      </c>
      <c r="W38" s="550" t="str">
        <f>IF(W$37=1,"Nein","")</f>
        <v/>
      </c>
      <c r="X38" s="550" t="str">
        <f>IF(X$37=1,"Nein","")</f>
        <v/>
      </c>
      <c r="Y38" s="550" t="str">
        <f>IF(Y$37=1,"Nein","")</f>
        <v/>
      </c>
      <c r="Z38" s="500"/>
      <c r="AA38" s="58"/>
      <c r="AB38" s="58"/>
      <c r="AC38" s="58"/>
      <c r="AD38" s="58"/>
      <c r="AE38" s="211"/>
    </row>
    <row r="39" spans="3:31" s="59" customFormat="1" ht="13.7" customHeight="1" x14ac:dyDescent="0.2">
      <c r="C39" s="501" t="s">
        <v>3951</v>
      </c>
      <c r="D39" s="425"/>
      <c r="E39" s="425"/>
      <c r="F39" s="425"/>
      <c r="G39" s="420"/>
      <c r="H39" s="419"/>
      <c r="I39" s="502" t="s">
        <v>3487</v>
      </c>
      <c r="J39" s="462"/>
      <c r="K39" s="897"/>
      <c r="L39" s="58"/>
      <c r="M39" s="478"/>
      <c r="N39" s="479"/>
      <c r="O39" s="58"/>
      <c r="P39" s="58"/>
      <c r="Q39" s="58"/>
      <c r="R39" s="58"/>
      <c r="S39" s="212"/>
      <c r="T39" s="214"/>
      <c r="U39" s="214"/>
      <c r="V39" s="214" t="s">
        <v>3838</v>
      </c>
      <c r="W39" s="551" t="str">
        <f>IF(W$37=1,"Ja","")</f>
        <v/>
      </c>
      <c r="X39" s="551" t="str">
        <f>IF(X$37=1,"Ja","")</f>
        <v/>
      </c>
      <c r="Y39" s="551" t="str">
        <f>IF(Y$37=1,"Ja","")</f>
        <v/>
      </c>
      <c r="Z39" s="552"/>
      <c r="AA39" s="214"/>
      <c r="AB39" s="214"/>
      <c r="AC39" s="214"/>
      <c r="AD39" s="214"/>
      <c r="AE39" s="215"/>
    </row>
    <row r="40" spans="3:31" s="59" customFormat="1" ht="13.7" customHeight="1" x14ac:dyDescent="0.2">
      <c r="C40" s="57"/>
      <c r="D40" s="531"/>
      <c r="E40" s="531"/>
      <c r="F40" s="487"/>
      <c r="G40" s="487"/>
      <c r="H40" s="487"/>
      <c r="I40" s="238"/>
      <c r="J40" s="532"/>
      <c r="K40" s="897"/>
      <c r="L40" s="58"/>
      <c r="M40" s="478"/>
      <c r="N40" s="479"/>
      <c r="O40" s="58"/>
      <c r="P40" s="58"/>
      <c r="Q40" s="58"/>
      <c r="R40" s="58"/>
      <c r="S40" s="58"/>
      <c r="T40" s="58"/>
    </row>
    <row r="41" spans="3:31" s="59" customFormat="1" ht="13.7" customHeight="1" x14ac:dyDescent="0.2">
      <c r="C41" s="334" t="s">
        <v>3576</v>
      </c>
      <c r="D41" s="335"/>
      <c r="E41" s="335"/>
      <c r="F41" s="335"/>
      <c r="G41" s="335"/>
      <c r="H41" s="335"/>
      <c r="I41" s="335"/>
      <c r="J41" s="336"/>
      <c r="K41" s="897"/>
      <c r="L41" s="58"/>
      <c r="M41" s="478"/>
      <c r="N41" s="479"/>
      <c r="O41" s="58"/>
      <c r="P41" s="58"/>
      <c r="Q41" s="58"/>
      <c r="R41" s="58"/>
      <c r="S41" s="58"/>
      <c r="T41" s="58"/>
    </row>
    <row r="42" spans="3:31" s="59" customFormat="1" ht="13.7" customHeight="1" x14ac:dyDescent="0.2">
      <c r="C42" s="503"/>
      <c r="D42" s="487"/>
      <c r="E42" s="487"/>
      <c r="F42" s="487"/>
      <c r="G42" s="487"/>
      <c r="H42" s="487"/>
      <c r="I42" s="487"/>
      <c r="J42" s="488"/>
      <c r="K42" s="897"/>
      <c r="L42" s="58"/>
      <c r="M42" s="478"/>
      <c r="N42" s="479"/>
      <c r="O42" s="58"/>
      <c r="P42" s="58"/>
      <c r="Q42" s="58"/>
      <c r="R42" s="58"/>
      <c r="S42" s="58"/>
      <c r="T42" s="58"/>
    </row>
    <row r="43" spans="3:31" s="59" customFormat="1" ht="13.7" customHeight="1" x14ac:dyDescent="0.2">
      <c r="C43" s="419" t="s">
        <v>4327</v>
      </c>
      <c r="D43" s="425"/>
      <c r="E43" s="425"/>
      <c r="F43" s="425"/>
      <c r="G43" s="425"/>
      <c r="H43" s="425"/>
      <c r="I43" s="420"/>
      <c r="J43" s="61"/>
      <c r="K43" s="897"/>
      <c r="L43" s="433" t="s">
        <v>4495</v>
      </c>
      <c r="M43" s="482">
        <v>1</v>
      </c>
      <c r="N43" s="465">
        <v>1</v>
      </c>
      <c r="O43" s="483" t="s">
        <v>4246</v>
      </c>
      <c r="P43" s="58"/>
      <c r="Q43" s="58"/>
      <c r="R43" s="58"/>
      <c r="S43" s="58"/>
      <c r="T43" s="58"/>
    </row>
    <row r="44" spans="3:31" s="59" customFormat="1" ht="4.1500000000000004" customHeight="1" x14ac:dyDescent="0.2">
      <c r="C44" s="503"/>
      <c r="D44" s="58"/>
      <c r="E44" s="58"/>
      <c r="F44" s="58"/>
      <c r="G44" s="58"/>
      <c r="H44" s="58"/>
      <c r="I44" s="58"/>
      <c r="J44" s="61"/>
      <c r="K44" s="897"/>
      <c r="L44" s="58"/>
      <c r="M44" s="312"/>
      <c r="N44" s="313"/>
      <c r="O44" s="517"/>
      <c r="P44" s="58"/>
      <c r="Q44" s="58"/>
      <c r="R44" s="58"/>
      <c r="S44" s="58"/>
      <c r="T44" s="58"/>
    </row>
    <row r="45" spans="3:31" s="59" customFormat="1" ht="19.5" customHeight="1" x14ac:dyDescent="0.35">
      <c r="C45" s="57"/>
      <c r="D45" s="58"/>
      <c r="E45" s="58"/>
      <c r="F45" s="58"/>
      <c r="G45" s="58"/>
      <c r="H45" s="149" t="s">
        <v>4829</v>
      </c>
      <c r="I45" s="425"/>
      <c r="J45" s="420"/>
      <c r="K45" s="897"/>
      <c r="L45" s="58"/>
      <c r="M45" s="1016">
        <f>IF(OR(M43=5,M43=6),"Moor",0)</f>
        <v>0</v>
      </c>
      <c r="N45" s="313"/>
      <c r="O45" s="1017" t="s">
        <v>4496</v>
      </c>
      <c r="P45" s="1018"/>
      <c r="Q45" s="1018"/>
      <c r="R45" s="58"/>
      <c r="S45" s="58"/>
      <c r="T45" s="58"/>
    </row>
    <row r="46" spans="3:31" s="59" customFormat="1" ht="13.7" customHeight="1" x14ac:dyDescent="0.2">
      <c r="C46" s="424" t="s">
        <v>4319</v>
      </c>
      <c r="D46" s="419"/>
      <c r="E46" s="420"/>
      <c r="F46" s="427" t="s">
        <v>21</v>
      </c>
      <c r="G46" s="424" t="s">
        <v>22</v>
      </c>
      <c r="H46" s="427" t="s">
        <v>23</v>
      </c>
      <c r="I46" s="427" t="s">
        <v>24</v>
      </c>
      <c r="J46" s="427" t="s">
        <v>4828</v>
      </c>
      <c r="K46" s="897"/>
      <c r="L46" s="484" t="s">
        <v>3370</v>
      </c>
      <c r="M46" s="482">
        <v>31</v>
      </c>
      <c r="N46" s="465">
        <v>31</v>
      </c>
      <c r="O46" s="483" t="s">
        <v>3897</v>
      </c>
      <c r="P46" s="58"/>
      <c r="Q46" s="58"/>
      <c r="R46" s="58"/>
      <c r="S46" s="58"/>
      <c r="T46" s="58"/>
    </row>
    <row r="47" spans="3:31" s="59" customFormat="1" ht="13.7" customHeight="1" x14ac:dyDescent="0.2">
      <c r="C47" s="419"/>
      <c r="D47" s="425"/>
      <c r="E47" s="420"/>
      <c r="F47" s="1014"/>
      <c r="G47" s="510"/>
      <c r="H47" s="533"/>
      <c r="I47" s="533"/>
      <c r="J47" s="533"/>
      <c r="K47" s="897"/>
      <c r="L47" s="58"/>
      <c r="M47" s="478"/>
      <c r="N47" s="479"/>
      <c r="O47" s="58"/>
      <c r="P47" s="58"/>
      <c r="Q47" s="58"/>
      <c r="R47" s="58"/>
      <c r="S47" s="58"/>
      <c r="T47" s="58"/>
    </row>
    <row r="48" spans="3:31" s="59" customFormat="1" ht="13.7" customHeight="1" x14ac:dyDescent="0.2">
      <c r="C48" s="1015" t="str">
        <f>IF(AND(M45="Moor",M48&lt;6),"N-Nachlieferung und Bodenart ist widersprüchlich",IF(AND(M45=0,M48=6),"N-Nachlieferung und Bodenart ist widersprüchlich",""))</f>
        <v/>
      </c>
      <c r="D48" s="238"/>
      <c r="E48" s="238"/>
      <c r="F48" s="238"/>
      <c r="G48" s="238"/>
      <c r="H48" s="534"/>
      <c r="I48" s="534"/>
      <c r="J48" s="535"/>
      <c r="K48" s="897"/>
      <c r="L48" s="484" t="s">
        <v>3577</v>
      </c>
      <c r="M48" s="482">
        <v>4</v>
      </c>
      <c r="N48" s="465">
        <v>4</v>
      </c>
      <c r="O48" s="58"/>
      <c r="P48" s="58"/>
      <c r="Q48" s="58"/>
      <c r="R48" s="58"/>
      <c r="S48" s="58"/>
      <c r="T48" s="58"/>
    </row>
    <row r="49" spans="1:20" s="59" customFormat="1" ht="13.7" customHeight="1" x14ac:dyDescent="0.2">
      <c r="C49" s="536" t="s">
        <v>3940</v>
      </c>
      <c r="D49" s="537"/>
      <c r="E49" s="537"/>
      <c r="F49" s="537"/>
      <c r="G49" s="537"/>
      <c r="H49" s="537"/>
      <c r="I49" s="537"/>
      <c r="J49" s="538"/>
      <c r="K49" s="897"/>
      <c r="L49" s="58"/>
      <c r="M49" s="478"/>
      <c r="N49" s="479"/>
      <c r="O49" s="517"/>
      <c r="P49" s="58"/>
      <c r="Q49" s="58"/>
      <c r="R49" s="58"/>
      <c r="S49" s="58"/>
      <c r="T49" s="58"/>
    </row>
    <row r="50" spans="1:20" s="59" customFormat="1" ht="29.25" customHeight="1" x14ac:dyDescent="0.2">
      <c r="C50" s="1935" t="str">
        <f>IF(OR(AND(M52&gt;42,M52&lt;57),AND(M54&gt;42,M54&lt;57)),HYPERLINK("#Due_org!f13","Bitte legen Sie, soweit vorhanden, im Registerblatt ''Due_org'' Ihren Dünger und die Nährstoffgehaltswerte gemäß Kennzeichnung an. Die hinterlegten Tabellenwerte können von Ihren tatsächlichen Werten erheblich abweichen."),"")</f>
        <v/>
      </c>
      <c r="D50" s="1936"/>
      <c r="E50" s="1936"/>
      <c r="F50" s="1936"/>
      <c r="G50" s="1936"/>
      <c r="H50" s="1936"/>
      <c r="I50" s="1936"/>
      <c r="J50" s="1937"/>
      <c r="K50" s="897"/>
      <c r="L50" s="58"/>
      <c r="M50" s="478"/>
      <c r="N50" s="479"/>
      <c r="O50" s="517"/>
      <c r="P50" s="58"/>
      <c r="Q50" s="58"/>
      <c r="R50" s="58"/>
      <c r="S50" s="58"/>
      <c r="T50" s="58"/>
    </row>
    <row r="51" spans="1:20" s="59" customFormat="1" ht="13.7" customHeight="1" x14ac:dyDescent="0.2">
      <c r="C51" s="419" t="s">
        <v>4317</v>
      </c>
      <c r="D51" s="425"/>
      <c r="E51" s="425"/>
      <c r="F51" s="425"/>
      <c r="G51" s="425"/>
      <c r="H51" s="466" t="s">
        <v>4318</v>
      </c>
      <c r="I51" s="419"/>
      <c r="J51" s="468" t="s">
        <v>4714</v>
      </c>
      <c r="K51" s="897"/>
      <c r="L51" s="58"/>
      <c r="M51" s="478"/>
      <c r="N51" s="479"/>
      <c r="O51" s="58"/>
      <c r="P51" s="58"/>
      <c r="Q51" s="58"/>
      <c r="R51" s="58"/>
      <c r="S51" s="58"/>
      <c r="T51" s="58"/>
    </row>
    <row r="52" spans="1:20" s="59" customFormat="1" ht="13.7" customHeight="1" x14ac:dyDescent="0.2">
      <c r="C52" s="485"/>
      <c r="D52" s="486"/>
      <c r="E52" s="425"/>
      <c r="F52" s="425"/>
      <c r="G52" s="425"/>
      <c r="H52" s="462"/>
      <c r="I52" s="539"/>
      <c r="J52" s="462"/>
      <c r="K52" s="897"/>
      <c r="L52" s="540" t="s">
        <v>3460</v>
      </c>
      <c r="M52" s="482">
        <v>1</v>
      </c>
      <c r="N52" s="465">
        <v>1</v>
      </c>
      <c r="O52" s="423" t="s">
        <v>3683</v>
      </c>
      <c r="P52" s="58"/>
      <c r="Q52" s="58"/>
      <c r="R52" s="58"/>
      <c r="S52" s="58"/>
      <c r="T52" s="58"/>
    </row>
    <row r="53" spans="1:20" s="59" customFormat="1" ht="28.5" customHeight="1" x14ac:dyDescent="0.2">
      <c r="A53" s="221"/>
      <c r="B53" s="221"/>
      <c r="C53" s="1723" t="str">
        <f>IF(AND(NOT(M52=1),H52=""),"Düngemittel ausgewählt; Menge fehlt!","")</f>
        <v/>
      </c>
      <c r="D53" s="70"/>
      <c r="E53" s="70"/>
      <c r="F53" s="1932" t="str">
        <f>IF(OR(AND(M52=16,OR(J52&gt;0,Due_org!$R$27=1)),AND(M52=17,OR(J52&gt;0,Due_org!$R$28=1)),AND(M52=38,OR(J52&gt;0,Due_org!$R$49=1)),AND(M52=39,OR(J52&gt;0,Due_org!$R$50=1)),AND(M52=40,OR(J52&gt;0,Due_org!$R$51=1)),AND(M52=41,OR(J52&gt;0,Due_org!$R$52=1)),AND(M52=42,OR(J52&gt;0,Due_org!$R$53=1)),AND(M52=57,OR(J52&gt;0,Due_org!$R$68=1)),AND(M52=58,OR(J52&gt;0,Due_org!$R$69=1))),"",IF(OR(M52=16,M52=17,M52=38,M52=39,M52=40,M52=41,M52=42,M52=57,M52=58),IF(H52=0,"",HYPERLINK("#Due_org!f49","Bitte für die Berechnung erforderlichen Analysewerte im 
Registerblatt Due_org oder unter ''Eigenanalyse'' eingeben!")
),""))</f>
        <v/>
      </c>
      <c r="G53" s="1933"/>
      <c r="H53" s="1933"/>
      <c r="I53" s="1933"/>
      <c r="J53" s="1934"/>
      <c r="K53" s="897"/>
      <c r="L53" s="540"/>
      <c r="M53" s="482"/>
      <c r="N53" s="465"/>
      <c r="O53" s="517"/>
      <c r="P53" s="58"/>
      <c r="Q53" s="58"/>
      <c r="R53" s="58"/>
      <c r="S53" s="58"/>
      <c r="T53" s="58"/>
    </row>
    <row r="54" spans="1:20" s="59" customFormat="1" ht="13.5" customHeight="1" thickBot="1" x14ac:dyDescent="0.25">
      <c r="C54" s="419"/>
      <c r="D54" s="425"/>
      <c r="E54" s="425"/>
      <c r="F54" s="425"/>
      <c r="G54" s="425"/>
      <c r="H54" s="462"/>
      <c r="I54" s="425"/>
      <c r="J54" s="462"/>
      <c r="K54" s="897"/>
      <c r="L54" s="540" t="s">
        <v>3460</v>
      </c>
      <c r="M54" s="541">
        <v>1</v>
      </c>
      <c r="N54" s="542">
        <v>1</v>
      </c>
      <c r="O54" s="58"/>
      <c r="P54" s="58"/>
      <c r="Q54" s="58"/>
      <c r="R54" s="58"/>
      <c r="S54" s="58"/>
      <c r="T54" s="58"/>
    </row>
    <row r="55" spans="1:20" s="59" customFormat="1" ht="30.75" customHeight="1" x14ac:dyDescent="0.2">
      <c r="B55" s="221"/>
      <c r="C55" s="1723" t="str">
        <f>IF(AND(NOT(M54=1),H54=""),"Düngemittel ausgewählt; Menge fehlt!","")</f>
        <v/>
      </c>
      <c r="D55" s="70"/>
      <c r="E55" s="70"/>
      <c r="F55" s="1932" t="str">
        <f>IF(OR(AND(M54=16,OR(J54&gt;0,Due_org!$R$27=1)),AND(M54=17,OR(J54&gt;0,Due_org!$R$28=1)),AND(M54=38,OR(J54&gt;0,Due_org!$R$49=1)),AND(M54=39,OR(J54&gt;0,Due_org!$R$50=1)),AND(M54=40,OR(J54&gt;0,Due_org!$R$51=1)),AND(M54=41,OR(J54&gt;0,Due_org!$R$52=1)),AND(M54=42,OR(J54&gt;0,Due_org!$R$53=1)),AND(M54=57,OR(J54&gt;0,Due_org!$R$68=1)),AND(M54=58,OR(J54&gt;0,Due_org!$R$69=1))),"",IF(OR(M54=16,M54=17,M54=38,M54=39,M54=40,M54=41,M54=42,M54=57,M54=58),IF(H54=0,"",HYPERLINK("#Due_org!f49","Bitte für die Berechnung erforderlichen Analysewerte im 
Registerblatt Due_org oder unter ''Eigenanalyse'' eingeben!")
),""))</f>
        <v/>
      </c>
      <c r="G55" s="1933"/>
      <c r="H55" s="1933"/>
      <c r="I55" s="1933"/>
      <c r="J55" s="1934"/>
      <c r="K55" s="897"/>
      <c r="L55" s="58"/>
      <c r="M55" s="198"/>
      <c r="N55"/>
      <c r="O55"/>
      <c r="P55" s="58"/>
      <c r="Q55" s="58"/>
      <c r="R55" s="58"/>
      <c r="S55" s="58"/>
      <c r="T55" s="58"/>
    </row>
    <row r="56" spans="1:20" s="59" customFormat="1" x14ac:dyDescent="0.2">
      <c r="L56" s="58"/>
      <c r="M56" s="198"/>
      <c r="N56"/>
      <c r="O56"/>
      <c r="P56" s="58"/>
      <c r="Q56" s="58"/>
      <c r="R56" s="58"/>
      <c r="S56" s="58"/>
      <c r="T56" s="58"/>
    </row>
  </sheetData>
  <sheetProtection password="8677" sheet="1" objects="1" scenarios="1"/>
  <mergeCells count="11">
    <mergeCell ref="F53:J53"/>
    <mergeCell ref="F55:J55"/>
    <mergeCell ref="C50:J50"/>
    <mergeCell ref="E12:F12"/>
    <mergeCell ref="E14:F14"/>
    <mergeCell ref="H12:J13"/>
    <mergeCell ref="I14:J14"/>
    <mergeCell ref="E13:F13"/>
    <mergeCell ref="H15:I15"/>
    <mergeCell ref="H16:I16"/>
    <mergeCell ref="J16:K16"/>
  </mergeCells>
  <conditionalFormatting sqref="I26">
    <cfRule type="expression" dxfId="43" priority="23">
      <formula>1=W29</formula>
    </cfRule>
    <cfRule type="expression" dxfId="42" priority="24">
      <formula>0=W29</formula>
    </cfRule>
  </conditionalFormatting>
  <conditionalFormatting sqref="I27">
    <cfRule type="expression" dxfId="41" priority="21">
      <formula>1=X29</formula>
    </cfRule>
    <cfRule type="expression" dxfId="40" priority="22">
      <formula>0=X29</formula>
    </cfRule>
  </conditionalFormatting>
  <conditionalFormatting sqref="I28">
    <cfRule type="expression" dxfId="39" priority="19">
      <formula>1=Y29</formula>
    </cfRule>
    <cfRule type="expression" dxfId="38" priority="20">
      <formula>0=Y29</formula>
    </cfRule>
  </conditionalFormatting>
  <conditionalFormatting sqref="I34">
    <cfRule type="expression" dxfId="37" priority="17">
      <formula>0=W37</formula>
    </cfRule>
    <cfRule type="expression" dxfId="36" priority="18">
      <formula>1=W37</formula>
    </cfRule>
  </conditionalFormatting>
  <conditionalFormatting sqref="I35">
    <cfRule type="expression" dxfId="35" priority="15">
      <formula>0=X37</formula>
    </cfRule>
    <cfRule type="expression" dxfId="34" priority="16">
      <formula>1=X37</formula>
    </cfRule>
  </conditionalFormatting>
  <conditionalFormatting sqref="I36">
    <cfRule type="expression" dxfId="33" priority="13">
      <formula>0=Y37</formula>
    </cfRule>
    <cfRule type="expression" dxfId="32" priority="14">
      <formula>1=Y37</formula>
    </cfRule>
  </conditionalFormatting>
  <conditionalFormatting sqref="H52">
    <cfRule type="expression" dxfId="31" priority="12">
      <formula>AND(NOT(M52=1),H52="")</formula>
    </cfRule>
  </conditionalFormatting>
  <conditionalFormatting sqref="H54">
    <cfRule type="expression" dxfId="30" priority="11">
      <formula>AND(NOT(M54=1),H54="")</formula>
    </cfRule>
  </conditionalFormatting>
  <dataValidations count="4">
    <dataValidation type="list" allowBlank="1" showInputMessage="1" showErrorMessage="1" sqref="I36">
      <formula1>$Y$38:$Y$39</formula1>
    </dataValidation>
    <dataValidation type="list" allowBlank="1" showInputMessage="1" showErrorMessage="1" sqref="I35">
      <formula1>$X$38:$X$39</formula1>
    </dataValidation>
    <dataValidation type="list" allowBlank="1" showInputMessage="1" showErrorMessage="1" sqref="I34">
      <formula1>$W$38:$W$39</formula1>
    </dataValidation>
    <dataValidation type="list" allowBlank="1" showInputMessage="1" showErrorMessage="1" sqref="I26:I28">
      <formula1>$W$30:$W$31</formula1>
    </dataValidation>
  </dataValidations>
  <hyperlinks>
    <hyperlink ref="O46" location="AB_Kalk!A1" display="Stammdaten - Acker auch für Grünland"/>
    <hyperlink ref="O43" location="GL_Bodenvorrat!A1" display="GL_Bodenvorrat"/>
    <hyperlink ref="O52" location="Due_org!A1" display="Registerblatt organische Dünger"/>
  </hyperlinks>
  <pageMargins left="0.70866141732283472" right="0.70866141732283472" top="0.78740157480314965" bottom="0.78740157480314965" header="0.31496062992125984" footer="0.31496062992125984"/>
  <pageSetup paperSize="9" scale="86" orientation="portrait" r:id="rId1"/>
  <headerFooter>
    <oddFooter>&amp;LDüngung BW&amp;C&amp;F&amp;A&amp;R&amp;D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22913" r:id="rId4" name="Drop Down 1">
              <controlPr defaultSize="0" autoLine="0" autoPict="0">
                <anchor moveWithCells="1">
                  <from>
                    <xdr:col>3</xdr:col>
                    <xdr:colOff>0</xdr:colOff>
                    <xdr:row>20</xdr:row>
                    <xdr:rowOff>0</xdr:rowOff>
                  </from>
                  <to>
                    <xdr:col>6</xdr:col>
                    <xdr:colOff>0</xdr:colOff>
                    <xdr:row>21</xdr:row>
                    <xdr:rowOff>0</xdr:rowOff>
                  </to>
                </anchor>
              </controlPr>
            </control>
          </mc:Choice>
        </mc:AlternateContent>
        <mc:AlternateContent xmlns:mc="http://schemas.openxmlformats.org/markup-compatibility/2006">
          <mc:Choice Requires="x14">
            <control shapeId="422914" r:id="rId5" name="Drop Down 2">
              <controlPr defaultSize="0" autoLine="0" autoPict="0">
                <anchor moveWithCells="1">
                  <from>
                    <xdr:col>5</xdr:col>
                    <xdr:colOff>0</xdr:colOff>
                    <xdr:row>42</xdr:row>
                    <xdr:rowOff>0</xdr:rowOff>
                  </from>
                  <to>
                    <xdr:col>9</xdr:col>
                    <xdr:colOff>171450</xdr:colOff>
                    <xdr:row>43</xdr:row>
                    <xdr:rowOff>0</xdr:rowOff>
                  </to>
                </anchor>
              </controlPr>
            </control>
          </mc:Choice>
        </mc:AlternateContent>
        <mc:AlternateContent xmlns:mc="http://schemas.openxmlformats.org/markup-compatibility/2006">
          <mc:Choice Requires="x14">
            <control shapeId="422916" r:id="rId6" name="Drop Down 4">
              <controlPr defaultSize="0" autoLine="0" autoPict="0">
                <anchor moveWithCells="1">
                  <from>
                    <xdr:col>2</xdr:col>
                    <xdr:colOff>0</xdr:colOff>
                    <xdr:row>51</xdr:row>
                    <xdr:rowOff>0</xdr:rowOff>
                  </from>
                  <to>
                    <xdr:col>5</xdr:col>
                    <xdr:colOff>0</xdr:colOff>
                    <xdr:row>52</xdr:row>
                    <xdr:rowOff>0</xdr:rowOff>
                  </to>
                </anchor>
              </controlPr>
            </control>
          </mc:Choice>
        </mc:AlternateContent>
        <mc:AlternateContent xmlns:mc="http://schemas.openxmlformats.org/markup-compatibility/2006">
          <mc:Choice Requires="x14">
            <control shapeId="422917" r:id="rId7" name="Drop Down 5">
              <controlPr defaultSize="0" autoLine="0" autoPict="0">
                <anchor moveWithCells="1">
                  <from>
                    <xdr:col>4</xdr:col>
                    <xdr:colOff>0</xdr:colOff>
                    <xdr:row>22</xdr:row>
                    <xdr:rowOff>0</xdr:rowOff>
                  </from>
                  <to>
                    <xdr:col>6</xdr:col>
                    <xdr:colOff>0</xdr:colOff>
                    <xdr:row>23</xdr:row>
                    <xdr:rowOff>0</xdr:rowOff>
                  </to>
                </anchor>
              </controlPr>
            </control>
          </mc:Choice>
        </mc:AlternateContent>
        <mc:AlternateContent xmlns:mc="http://schemas.openxmlformats.org/markup-compatibility/2006">
          <mc:Choice Requires="x14">
            <control shapeId="422918" r:id="rId8" name="Drop Down 6">
              <controlPr defaultSize="0" autoLine="0" autoPict="0">
                <anchor moveWithCells="1">
                  <from>
                    <xdr:col>2</xdr:col>
                    <xdr:colOff>0</xdr:colOff>
                    <xdr:row>46</xdr:row>
                    <xdr:rowOff>0</xdr:rowOff>
                  </from>
                  <to>
                    <xdr:col>5</xdr:col>
                    <xdr:colOff>0</xdr:colOff>
                    <xdr:row>47</xdr:row>
                    <xdr:rowOff>0</xdr:rowOff>
                  </to>
                </anchor>
              </controlPr>
            </control>
          </mc:Choice>
        </mc:AlternateContent>
        <mc:AlternateContent xmlns:mc="http://schemas.openxmlformats.org/markup-compatibility/2006">
          <mc:Choice Requires="x14">
            <control shapeId="422919" r:id="rId9" name="Drop Down 7">
              <controlPr defaultSize="0" autoLine="0" autoPict="0">
                <anchor moveWithCells="1">
                  <from>
                    <xdr:col>2</xdr:col>
                    <xdr:colOff>0</xdr:colOff>
                    <xdr:row>53</xdr:row>
                    <xdr:rowOff>0</xdr:rowOff>
                  </from>
                  <to>
                    <xdr:col>5</xdr:col>
                    <xdr:colOff>0</xdr:colOff>
                    <xdr:row>54</xdr:row>
                    <xdr:rowOff>0</xdr:rowOff>
                  </to>
                </anchor>
              </controlPr>
            </control>
          </mc:Choice>
        </mc:AlternateContent>
        <mc:AlternateContent xmlns:mc="http://schemas.openxmlformats.org/markup-compatibility/2006">
          <mc:Choice Requires="x14">
            <control shapeId="422915" r:id="rId10" name="Drop Down 3">
              <controlPr defaultSize="0" autoLine="0" autoPict="0">
                <anchor moveWithCells="1">
                  <from>
                    <xdr:col>6</xdr:col>
                    <xdr:colOff>0</xdr:colOff>
                    <xdr:row>46</xdr:row>
                    <xdr:rowOff>0</xdr:rowOff>
                  </from>
                  <to>
                    <xdr:col>7</xdr:col>
                    <xdr:colOff>0</xdr:colOff>
                    <xdr:row>47</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2E646C95-A857-42AF-9F91-A89564A17ACB}">
            <xm:f>Startmenue!$E$46&lt;TODAY()</xm:f>
            <x14:dxf>
              <font>
                <color theme="1"/>
              </font>
              <fill>
                <patternFill>
                  <bgColor theme="1"/>
                </patternFill>
              </fill>
              <border>
                <left/>
                <right/>
                <top/>
                <bottom/>
                <vertical/>
                <horizontal/>
              </border>
            </x14:dxf>
          </x14:cfRule>
          <xm:sqref>C3:J3 C6:J14 C4:H4 J4 C5:F5 H5:J5 C54:J54 C53:E53 C55:E55 C46:J52 C45:G45 I45:J45 C18:J44 C15:F17</xm:sqref>
        </x14:conditionalFormatting>
        <x14:conditionalFormatting xmlns:xm="http://schemas.microsoft.com/office/excel/2006/main">
          <x14:cfRule type="expression" priority="9" id="{9D2A489F-AAFA-420E-BE80-1FD9CA551EE8}">
            <xm:f>Startmenue!$E$46&lt;TODAY()</xm:f>
            <x14:dxf>
              <font>
                <color theme="1"/>
              </font>
              <fill>
                <patternFill>
                  <bgColor theme="1"/>
                </patternFill>
              </fill>
              <border>
                <left/>
                <right/>
                <top/>
                <bottom/>
                <vertical/>
                <horizontal/>
              </border>
            </x14:dxf>
          </x14:cfRule>
          <xm:sqref>I4</xm:sqref>
        </x14:conditionalFormatting>
        <x14:conditionalFormatting xmlns:xm="http://schemas.microsoft.com/office/excel/2006/main">
          <x14:cfRule type="expression" priority="8" id="{BA62319D-68D9-45C8-A85D-16174556C467}">
            <xm:f>Startmenue!$E$46&lt;TODAY()</xm:f>
            <x14:dxf>
              <font>
                <color theme="1"/>
              </font>
              <fill>
                <patternFill>
                  <bgColor theme="1"/>
                </patternFill>
              </fill>
              <border>
                <left/>
                <right/>
                <top/>
                <bottom/>
                <vertical/>
                <horizontal/>
              </border>
            </x14:dxf>
          </x14:cfRule>
          <xm:sqref>G5</xm:sqref>
        </x14:conditionalFormatting>
        <x14:conditionalFormatting xmlns:xm="http://schemas.microsoft.com/office/excel/2006/main">
          <x14:cfRule type="expression" priority="7" id="{CEDF7D09-7C1E-4C4B-BD35-08C1478AE44F}">
            <xm:f>Startmenue!$E$46&lt;TODAY()</xm:f>
            <x14:dxf>
              <font>
                <color auto="1"/>
              </font>
              <fill>
                <patternFill>
                  <bgColor theme="1"/>
                </patternFill>
              </fill>
              <border>
                <left/>
                <right/>
                <top/>
                <bottom/>
                <vertical/>
                <horizontal/>
              </border>
            </x14:dxf>
          </x14:cfRule>
          <xm:sqref>F53</xm:sqref>
        </x14:conditionalFormatting>
        <x14:conditionalFormatting xmlns:xm="http://schemas.microsoft.com/office/excel/2006/main">
          <x14:cfRule type="expression" priority="5" id="{BA62BCD5-9494-4499-9CB9-756941CD5CD4}">
            <xm:f>Startmenue!$E$46&lt;TODAY()</xm:f>
            <x14:dxf>
              <font>
                <color auto="1"/>
              </font>
              <fill>
                <patternFill>
                  <bgColor theme="1"/>
                </patternFill>
              </fill>
              <border>
                <left/>
                <right/>
                <top/>
                <bottom/>
                <vertical/>
                <horizontal/>
              </border>
            </x14:dxf>
          </x14:cfRule>
          <xm:sqref>F55</xm:sqref>
        </x14:conditionalFormatting>
        <x14:conditionalFormatting xmlns:xm="http://schemas.microsoft.com/office/excel/2006/main">
          <x14:cfRule type="expression" priority="4" id="{41135C34-2C52-4C59-9E02-DA5A729B16FF}">
            <xm:f>Startmenue!$E$46&lt;TODAY()</xm:f>
            <x14:dxf>
              <font>
                <color theme="1"/>
              </font>
              <fill>
                <patternFill>
                  <bgColor theme="1"/>
                </patternFill>
              </fill>
              <border>
                <left/>
                <right/>
                <top/>
                <bottom/>
                <vertical/>
                <horizontal/>
              </border>
            </x14:dxf>
          </x14:cfRule>
          <xm:sqref>H45</xm:sqref>
        </x14:conditionalFormatting>
        <x14:conditionalFormatting xmlns:xm="http://schemas.microsoft.com/office/excel/2006/main">
          <x14:cfRule type="expression" priority="3" id="{BA70E973-D83E-436A-BE1F-E5D7072A94A5}">
            <xm:f>Startmenue!$E$46&lt;TODAY()</xm:f>
            <x14:dxf>
              <font>
                <color auto="1"/>
              </font>
              <fill>
                <patternFill>
                  <bgColor theme="1"/>
                </patternFill>
              </fill>
              <border>
                <left/>
                <right/>
                <top/>
                <bottom/>
                <vertical/>
                <horizontal/>
              </border>
            </x14:dxf>
          </x14:cfRule>
          <xm:sqref>G17:J17 G15:H16</xm:sqref>
        </x14:conditionalFormatting>
        <x14:conditionalFormatting xmlns:xm="http://schemas.microsoft.com/office/excel/2006/main">
          <x14:cfRule type="expression" priority="2" id="{E60ECB26-BB2D-4B85-844C-DB0200B29C8B}">
            <xm:f>Startmenue!$E$46&lt;TODAY()</xm:f>
            <x14:dxf>
              <font>
                <color auto="1"/>
              </font>
              <fill>
                <patternFill>
                  <bgColor theme="1"/>
                </patternFill>
              </fill>
              <border>
                <left/>
                <right/>
                <top/>
                <bottom/>
                <vertical/>
                <horizontal/>
              </border>
            </x14:dxf>
          </x14:cfRule>
          <xm:sqref>J16:K16</xm:sqref>
        </x14:conditionalFormatting>
        <x14:conditionalFormatting xmlns:xm="http://schemas.microsoft.com/office/excel/2006/main">
          <x14:cfRule type="expression" priority="1" id="{DD82B4FB-A1AF-46C1-82DB-8DAA9F3282F0}">
            <xm:f>COUNTIF(OFFSET(Gemarkungen!$C$12,VLOOKUP(H15,Gemarkungen!$O$13:$R$1130,3,FALSE),0,VLOOKUP(H15, Gemarkungen!$O$13:$R$1130,4,FALSE)-VLOOKUP(H15,Gemarkungen!$O$13:$R$1130,3,FALSE)+1,1),$H$16)&lt;&gt;1</xm:f>
            <x14:dxf>
              <font>
                <color rgb="FFFFFFCC"/>
              </font>
            </x14:dxf>
          </x14:cfRule>
          <xm:sqref>H16:I16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OFFSET(Gemarkungen!$C$12,VLOOKUP(H15,Gemarkungen!$O$13:$R$1130,3,FALSE),0,VLOOKUP(H15, Gemarkungen!$O$13:$R$1130,4,FALSE)-VLOOKUP(H15,Gemarkungen!$O$13:$R$1130,3,FALSE)+1,1)</xm:f>
          </x14:formula1>
          <xm:sqref>H16:I16</xm:sqref>
        </x14:dataValidation>
        <x14:dataValidation type="list" allowBlank="1" showInputMessage="1" showErrorMessage="1">
          <x14:formula1>
            <xm:f>Gemarkungen!$O$13:$O$1115</xm:f>
          </x14:formula1>
          <xm:sqref>H15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39997558519241921"/>
    <pageSetUpPr fitToPage="1"/>
  </sheetPr>
  <dimension ref="A1:Q277"/>
  <sheetViews>
    <sheetView showGridLines="0" zoomScaleNormal="100" workbookViewId="0">
      <pane ySplit="15" topLeftCell="A16" activePane="bottomLeft" state="frozen"/>
      <selection activeCell="A10" sqref="A10"/>
      <selection pane="bottomLeft" activeCell="A2" sqref="A2"/>
    </sheetView>
  </sheetViews>
  <sheetFormatPr baseColWidth="10" defaultRowHeight="14.25" x14ac:dyDescent="0.2"/>
  <cols>
    <col min="1" max="1" width="0.375" style="198" customWidth="1"/>
    <col min="2" max="2" width="2.75" customWidth="1"/>
    <col min="5" max="5" width="12.375" customWidth="1"/>
    <col min="10" max="10" width="16" bestFit="1" customWidth="1"/>
    <col min="11" max="11" width="40.75" style="1744" bestFit="1" customWidth="1"/>
    <col min="12" max="13" width="0" hidden="1" customWidth="1"/>
  </cols>
  <sheetData>
    <row r="1" spans="3:17" ht="2.85" customHeight="1" x14ac:dyDescent="0.2"/>
    <row r="2" spans="3:17" ht="30.6" customHeight="1" x14ac:dyDescent="0.25">
      <c r="C2" s="396"/>
      <c r="D2" s="397"/>
      <c r="E2" s="397"/>
      <c r="F2" s="397"/>
      <c r="G2" s="397"/>
      <c r="H2" s="397"/>
      <c r="I2" s="397"/>
      <c r="J2" s="398"/>
      <c r="K2" s="1745"/>
    </row>
    <row r="3" spans="3:17" ht="18.399999999999999" x14ac:dyDescent="0.3">
      <c r="C3" s="155" t="str">
        <f>Startmenue!C2</f>
        <v>Düngung BW</v>
      </c>
      <c r="D3" s="156"/>
      <c r="E3" s="156"/>
      <c r="F3" s="156"/>
      <c r="G3" s="156"/>
      <c r="H3" s="156"/>
      <c r="I3" s="156"/>
      <c r="J3" s="157" t="s">
        <v>1</v>
      </c>
      <c r="K3" s="1746"/>
      <c r="O3" s="4"/>
      <c r="P3" s="4"/>
      <c r="Q3" s="4"/>
    </row>
    <row r="4" spans="3:17" ht="13.7" x14ac:dyDescent="0.2">
      <c r="C4" s="6" t="str">
        <f>GL_Eingabe!C4&amp;" "&amp;GL_Eingabe!J21</f>
        <v xml:space="preserve">Düngebedarfsberechnung (Dauer-)Grünland und mehrschnitt. Feldfutterbau </v>
      </c>
      <c r="D4" s="4"/>
      <c r="E4" s="4"/>
      <c r="F4" s="4"/>
      <c r="G4" s="4"/>
      <c r="I4" s="4"/>
      <c r="J4" s="394">
        <f>GL_Eingabe!J4</f>
        <v>0</v>
      </c>
      <c r="K4" s="1746"/>
      <c r="O4" s="4"/>
      <c r="P4" s="4"/>
      <c r="Q4" s="4"/>
    </row>
    <row r="5" spans="3:17" x14ac:dyDescent="0.25">
      <c r="C5" s="104" t="str">
        <f>Startmenue!C4</f>
        <v>(EXCEL-Anwendung, Stand: 06/03/2018)</v>
      </c>
      <c r="D5" s="3"/>
      <c r="E5" s="3"/>
      <c r="F5" s="3"/>
      <c r="G5" s="4" t="s">
        <v>3934</v>
      </c>
      <c r="H5" s="3"/>
      <c r="I5" s="3"/>
      <c r="J5" s="648" t="str">
        <f>Startmenue!G2</f>
        <v>Version 1.2</v>
      </c>
      <c r="K5" s="1746"/>
      <c r="O5" s="4"/>
      <c r="P5" s="4"/>
      <c r="Q5" s="4"/>
    </row>
    <row r="6" spans="3:17" ht="1.35" customHeight="1" x14ac:dyDescent="0.2">
      <c r="C6" s="174"/>
      <c r="D6" s="163"/>
      <c r="E6" s="163"/>
      <c r="F6" s="163"/>
      <c r="G6" s="163"/>
      <c r="H6" s="163"/>
      <c r="I6" s="163"/>
      <c r="J6" s="175"/>
      <c r="K6" s="1746"/>
      <c r="O6" s="4"/>
      <c r="P6" s="4"/>
      <c r="Q6" s="4"/>
    </row>
    <row r="7" spans="3:17" ht="1.35" customHeight="1" x14ac:dyDescent="0.2">
      <c r="C7" s="5"/>
      <c r="D7" s="4"/>
      <c r="E7" s="4"/>
      <c r="F7" s="4"/>
      <c r="G7" s="4"/>
      <c r="H7" s="4"/>
      <c r="I7" s="4"/>
      <c r="J7" s="10"/>
      <c r="K7" s="1746"/>
      <c r="O7" s="4"/>
      <c r="P7" s="4"/>
      <c r="Q7" s="4"/>
    </row>
    <row r="8" spans="3:17" ht="1.35" customHeight="1" x14ac:dyDescent="0.2">
      <c r="C8" s="5"/>
      <c r="D8" s="4"/>
      <c r="E8" s="4"/>
      <c r="F8" s="4"/>
      <c r="G8" s="4"/>
      <c r="H8" s="4"/>
      <c r="I8" s="4"/>
      <c r="J8" s="10"/>
      <c r="K8" s="1746"/>
      <c r="O8" s="4"/>
      <c r="P8" s="4"/>
      <c r="Q8" s="4"/>
    </row>
    <row r="9" spans="3:17" ht="1.35" customHeight="1" x14ac:dyDescent="0.2">
      <c r="C9" s="5"/>
      <c r="D9" s="4"/>
      <c r="E9" s="4"/>
      <c r="F9" s="4"/>
      <c r="G9" s="4"/>
      <c r="H9" s="4"/>
      <c r="I9" s="4"/>
      <c r="J9" s="10"/>
      <c r="K9" s="1746"/>
      <c r="O9" s="4"/>
      <c r="P9" s="4"/>
      <c r="Q9" s="4"/>
    </row>
    <row r="10" spans="3:17" ht="4.7" customHeight="1" x14ac:dyDescent="0.2">
      <c r="C10" s="167"/>
      <c r="D10" s="3"/>
      <c r="E10" s="3"/>
      <c r="F10" s="3"/>
      <c r="G10" s="3"/>
      <c r="H10" s="3"/>
      <c r="I10" s="3"/>
      <c r="J10" s="230"/>
      <c r="K10" s="1746"/>
      <c r="O10" s="4"/>
      <c r="P10" s="4"/>
      <c r="Q10" s="4"/>
    </row>
    <row r="11" spans="3:17" x14ac:dyDescent="0.2">
      <c r="C11" s="7" t="s">
        <v>3</v>
      </c>
      <c r="D11" s="9"/>
      <c r="E11" s="400">
        <f>GL_Eingabe!E12</f>
        <v>0</v>
      </c>
      <c r="F11" s="390"/>
      <c r="G11" s="338" t="s">
        <v>4</v>
      </c>
      <c r="H11" s="1894">
        <f>GL_Eingabe!H12</f>
        <v>0</v>
      </c>
      <c r="I11" s="1895"/>
      <c r="J11" s="1896"/>
      <c r="K11" s="1746"/>
      <c r="O11" s="4"/>
      <c r="P11" s="4"/>
      <c r="Q11" s="4"/>
    </row>
    <row r="12" spans="3:17" x14ac:dyDescent="0.2">
      <c r="C12" s="12" t="s">
        <v>5</v>
      </c>
      <c r="D12" s="13"/>
      <c r="E12" s="1892">
        <f>GL_Eingabe!E13</f>
        <v>0</v>
      </c>
      <c r="F12" s="1893"/>
      <c r="G12" s="4"/>
      <c r="H12" s="1897"/>
      <c r="I12" s="1898"/>
      <c r="J12" s="1899"/>
      <c r="K12" s="1746"/>
      <c r="O12" s="4"/>
      <c r="P12" s="4"/>
      <c r="Q12" s="4"/>
    </row>
    <row r="13" spans="3:17" ht="13.7" x14ac:dyDescent="0.2">
      <c r="C13" s="12" t="s">
        <v>7</v>
      </c>
      <c r="D13" s="13"/>
      <c r="E13" s="1892">
        <f>GL_Eingabe!E14</f>
        <v>0</v>
      </c>
      <c r="F13" s="1893"/>
      <c r="G13" s="17" t="s">
        <v>6</v>
      </c>
      <c r="H13" s="28"/>
      <c r="I13" s="1892">
        <f>GL_Eingabe!I14</f>
        <v>0</v>
      </c>
      <c r="J13" s="1893"/>
      <c r="K13" s="1746"/>
      <c r="O13" s="4"/>
      <c r="P13" s="4"/>
      <c r="Q13" s="4"/>
    </row>
    <row r="14" spans="3:17" x14ac:dyDescent="0.2">
      <c r="C14" s="12" t="s">
        <v>9</v>
      </c>
      <c r="D14" s="13"/>
      <c r="E14" s="391">
        <f>GL_Eingabe!E16</f>
        <v>0</v>
      </c>
      <c r="F14" s="392"/>
      <c r="G14" t="s">
        <v>4301</v>
      </c>
      <c r="H14" s="28"/>
      <c r="I14" s="1906">
        <f>GL_Eingabe!I16</f>
        <v>0</v>
      </c>
      <c r="J14" s="1907"/>
      <c r="K14" s="1746"/>
      <c r="O14" s="4"/>
      <c r="P14" s="4"/>
      <c r="Q14" s="4"/>
    </row>
    <row r="15" spans="3:17" x14ac:dyDescent="0.2">
      <c r="C15" s="12" t="s">
        <v>11</v>
      </c>
      <c r="D15" s="13"/>
      <c r="E15" s="1012">
        <f>GL_Eingabe!E17</f>
        <v>0</v>
      </c>
      <c r="F15" s="392"/>
      <c r="G15" s="12" t="s">
        <v>4304</v>
      </c>
      <c r="H15" s="28"/>
      <c r="I15" s="391" t="str">
        <f ca="1">GL_Eingabe!I17</f>
        <v>Gemeinde und Gemarkung auswählen!</v>
      </c>
      <c r="J15" s="393"/>
      <c r="K15" s="1746"/>
      <c r="O15" s="4"/>
      <c r="P15" s="4"/>
      <c r="Q15" s="4"/>
    </row>
    <row r="16" spans="3:17" ht="4.1500000000000004" customHeight="1" x14ac:dyDescent="0.2">
      <c r="C16" s="5"/>
      <c r="D16" s="4"/>
      <c r="E16" s="4"/>
      <c r="F16" s="4"/>
      <c r="G16" s="4"/>
      <c r="H16" s="4"/>
      <c r="I16" s="4"/>
      <c r="J16" s="10"/>
      <c r="K16" s="1746"/>
      <c r="O16" s="4"/>
      <c r="P16" s="4"/>
      <c r="Q16" s="4"/>
    </row>
    <row r="17" spans="3:17" x14ac:dyDescent="0.25">
      <c r="C17" s="339" t="s">
        <v>28</v>
      </c>
      <c r="D17" s="332"/>
      <c r="E17" s="332"/>
      <c r="F17" s="341"/>
      <c r="G17" s="332"/>
      <c r="H17" s="332"/>
      <c r="I17" s="332"/>
      <c r="J17" s="333"/>
      <c r="K17" s="1746"/>
    </row>
    <row r="18" spans="3:17" ht="1.35" customHeight="1" x14ac:dyDescent="0.2">
      <c r="C18" s="5"/>
      <c r="D18" s="29"/>
      <c r="E18" s="4"/>
      <c r="F18" s="33"/>
      <c r="G18" s="33"/>
      <c r="H18" s="33"/>
      <c r="I18" s="4"/>
      <c r="J18" s="371"/>
      <c r="K18" s="1746"/>
      <c r="O18" s="4"/>
      <c r="P18" s="4"/>
      <c r="Q18" s="4"/>
    </row>
    <row r="19" spans="3:17" ht="13.7" x14ac:dyDescent="0.2">
      <c r="C19" s="5" t="s">
        <v>12</v>
      </c>
      <c r="D19" s="4"/>
      <c r="E19" s="4"/>
      <c r="F19" s="162" t="str">
        <f>VLOOKUP(GL_Eingabe!M21,Kulturen!E95:F109,2,FALSE)</f>
        <v>auswählen !</v>
      </c>
      <c r="G19" s="227"/>
      <c r="H19" s="227"/>
      <c r="I19" s="268"/>
      <c r="J19" s="401" t="s">
        <v>30</v>
      </c>
      <c r="K19" s="1746"/>
      <c r="O19" s="4"/>
      <c r="P19" s="4"/>
      <c r="Q19" s="4"/>
    </row>
    <row r="20" spans="3:17" x14ac:dyDescent="0.2">
      <c r="C20" s="170" t="s">
        <v>3947</v>
      </c>
      <c r="D20" s="171"/>
      <c r="E20" s="171"/>
      <c r="F20" s="289">
        <f>ROUND(Kulturen!H122,0)</f>
        <v>0</v>
      </c>
      <c r="G20" s="290"/>
      <c r="H20" s="290"/>
      <c r="I20" s="291"/>
      <c r="J20" s="402"/>
      <c r="K20" s="1746"/>
      <c r="O20" s="4"/>
      <c r="P20" s="4"/>
      <c r="Q20" s="4"/>
    </row>
    <row r="21" spans="3:17" ht="13.7" x14ac:dyDescent="0.2">
      <c r="C21" s="24" t="s">
        <v>4721</v>
      </c>
      <c r="D21" s="1"/>
      <c r="E21" s="1"/>
      <c r="F21" s="1914" t="str">
        <f>Kulturen!H138&amp;" (bei "&amp;Kulturen!H120&amp;" dt/ha) + "&amp;"("&amp;Kulturen!H136&amp;") "&amp;Kulturen!I136</f>
        <v>0 (bei 0 dt/ha) + (0) (Ertragskorrektur)</v>
      </c>
      <c r="G21" s="1915"/>
      <c r="H21" s="1915"/>
      <c r="I21" s="369" t="str">
        <f>IF(Kulturen!H119=1,"","=" &amp; ROUND(Kulturen!H139,0))</f>
        <v/>
      </c>
      <c r="J21" s="347"/>
      <c r="K21" s="1746"/>
      <c r="O21" s="4"/>
      <c r="P21" s="4"/>
      <c r="Q21" s="4"/>
    </row>
    <row r="22" spans="3:17" x14ac:dyDescent="0.2">
      <c r="C22" s="36" t="s">
        <v>4577</v>
      </c>
      <c r="D22" s="8"/>
      <c r="E22" s="8"/>
      <c r="F22" s="66"/>
      <c r="G22" s="226"/>
      <c r="H22" s="226"/>
      <c r="I22" s="267"/>
      <c r="J22" s="367"/>
      <c r="K22" s="1746"/>
      <c r="O22" s="4"/>
      <c r="P22" s="4"/>
      <c r="Q22" s="4"/>
    </row>
    <row r="23" spans="3:17" x14ac:dyDescent="0.2">
      <c r="C23" s="12" t="s">
        <v>32</v>
      </c>
      <c r="D23" s="31"/>
      <c r="E23" s="31"/>
      <c r="F23" s="264">
        <f>Kulturen!H143/100</f>
        <v>0</v>
      </c>
      <c r="G23" s="194"/>
      <c r="H23" s="194"/>
      <c r="I23" s="292"/>
      <c r="J23" s="368"/>
      <c r="K23" s="1746"/>
      <c r="O23" s="4"/>
      <c r="P23" s="4"/>
      <c r="Q23" s="4"/>
    </row>
    <row r="24" spans="3:17" x14ac:dyDescent="0.2">
      <c r="C24" s="24" t="s">
        <v>4722</v>
      </c>
      <c r="D24" s="1"/>
      <c r="E24" s="1"/>
      <c r="F24" s="92" t="str">
        <f>J21&amp;"(bei "&amp;ROUND(Kulturen!H143,1)&amp;" %) + ("&amp;Kulturen!H155&amp;") "&amp;Kulturen!I155</f>
        <v>(bei 0 %) + (0) (RP-Korrektur)</v>
      </c>
      <c r="G24" s="228"/>
      <c r="H24" s="228"/>
      <c r="I24" s="270"/>
      <c r="J24" s="347" t="str">
        <f>IF(Kulturen!H119=1,"",ROUND(Kulturen!H158,0))</f>
        <v/>
      </c>
      <c r="K24" s="1746"/>
      <c r="O24" s="4"/>
      <c r="P24" s="4"/>
      <c r="Q24" s="4"/>
    </row>
    <row r="25" spans="3:17" x14ac:dyDescent="0.2">
      <c r="C25" s="231" t="s">
        <v>4277</v>
      </c>
      <c r="D25" s="3"/>
      <c r="E25" s="3"/>
      <c r="F25" s="168"/>
      <c r="G25" s="229"/>
      <c r="H25" s="229"/>
      <c r="I25" s="293"/>
      <c r="J25" s="403"/>
      <c r="K25" s="1746"/>
      <c r="O25" s="4"/>
      <c r="P25" s="4"/>
      <c r="Q25" s="4"/>
    </row>
    <row r="26" spans="3:17" x14ac:dyDescent="0.2">
      <c r="C26" s="5" t="s">
        <v>3953</v>
      </c>
      <c r="D26" s="4"/>
      <c r="E26" s="4"/>
      <c r="F26" s="66" t="str">
        <f>Due_org!D80</f>
        <v>keine organ./organ.-mineral. Düngung</v>
      </c>
      <c r="G26" s="227"/>
      <c r="H26" s="227"/>
      <c r="I26" s="268"/>
      <c r="J26" s="404" t="str">
        <f>IF(Kulturen!H119=1,"",ROUND(Kulturen!$H$162,0)*-1)</f>
        <v/>
      </c>
      <c r="K26" s="1746"/>
      <c r="O26" s="4"/>
      <c r="P26" s="4"/>
      <c r="Q26" s="4"/>
    </row>
    <row r="27" spans="3:17" x14ac:dyDescent="0.2">
      <c r="C27" s="35" t="s">
        <v>4259</v>
      </c>
      <c r="D27" s="4"/>
      <c r="E27" s="10"/>
      <c r="F27" s="303" t="str">
        <f>IF(J26=0,"","("&amp;Due_org!$I$87&amp;" "&amp; Due_org!$J$87&amp;" * "&amp;Due_org!$I$86 &amp;" " &amp; Due_org!$J$82 &amp;" * "&amp;Due_org!$I$89&amp;")")</f>
        <v>(0 0 * 0 0 * 0)</v>
      </c>
      <c r="G27" s="227"/>
      <c r="H27" s="227"/>
      <c r="I27" s="268"/>
      <c r="J27" s="387"/>
      <c r="K27" s="1750"/>
      <c r="O27" s="4"/>
      <c r="P27" s="4"/>
      <c r="Q27" s="4"/>
    </row>
    <row r="28" spans="3:17" x14ac:dyDescent="0.2">
      <c r="C28" s="35"/>
      <c r="D28" s="4"/>
      <c r="E28" s="4"/>
      <c r="F28" s="66" t="str">
        <f>Due_org!D95</f>
        <v>keine organ./organ.-mineral. Düngung</v>
      </c>
      <c r="G28" s="227"/>
      <c r="H28" s="227"/>
      <c r="I28" s="268"/>
      <c r="J28" s="404" t="str">
        <f>IF(Kulturen!H119=1,"",ROUND(Kulturen!$H$166,0)*-1)</f>
        <v/>
      </c>
      <c r="K28" s="1750"/>
      <c r="O28" s="4"/>
      <c r="P28" s="4"/>
      <c r="Q28" s="4"/>
    </row>
    <row r="29" spans="3:17" x14ac:dyDescent="0.2">
      <c r="C29" s="35"/>
      <c r="D29" s="4"/>
      <c r="E29" s="4"/>
      <c r="F29" s="294" t="str">
        <f>IF(J28=0,"","("&amp;Due_org!$I$102&amp;" "&amp; Due_org!$J$102&amp;" * "&amp;Due_org!$I$101 &amp;" " &amp; Due_org!$J$97 &amp;" * "&amp;Due_org!$I$104&amp;")")</f>
        <v>(0 0 * 0 0 * 0)</v>
      </c>
      <c r="G29" s="227"/>
      <c r="H29" s="227"/>
      <c r="I29" s="268"/>
      <c r="J29" s="387"/>
      <c r="K29" s="1750"/>
      <c r="O29" s="4"/>
      <c r="P29" s="4"/>
      <c r="Q29" s="4"/>
    </row>
    <row r="30" spans="3:17" x14ac:dyDescent="0.2">
      <c r="C30" s="24" t="s">
        <v>4278</v>
      </c>
      <c r="D30" s="1"/>
      <c r="E30" s="1"/>
      <c r="F30" s="1942" t="str">
        <f>GL_Bodenvorrat!C24</f>
        <v>bitte auswählen !!</v>
      </c>
      <c r="G30" s="1943"/>
      <c r="H30" s="1943"/>
      <c r="I30" s="1944"/>
      <c r="J30" s="405" t="str">
        <f>IF(Kulturen!H119=1,"",ROUND(GL_Bodenvorrat!E24*-1,0))</f>
        <v/>
      </c>
      <c r="K30" s="1750"/>
      <c r="O30" s="4"/>
      <c r="P30" s="4"/>
      <c r="Q30" s="4"/>
    </row>
    <row r="31" spans="3:17" x14ac:dyDescent="0.2">
      <c r="C31" s="35" t="s">
        <v>3932</v>
      </c>
      <c r="D31" s="4"/>
      <c r="E31" s="4"/>
      <c r="F31" s="1945"/>
      <c r="G31" s="1946"/>
      <c r="H31" s="1946"/>
      <c r="I31" s="1947"/>
      <c r="J31" s="406"/>
      <c r="K31" s="1750"/>
      <c r="O31" s="4"/>
      <c r="P31" s="4"/>
      <c r="Q31" s="4"/>
    </row>
    <row r="32" spans="3:17" x14ac:dyDescent="0.2">
      <c r="C32" s="165" t="s">
        <v>4279</v>
      </c>
      <c r="D32" s="166"/>
      <c r="E32" s="166"/>
      <c r="F32" s="295" t="str">
        <f>"Ertragsanteil von Leguminosen " &amp;Nachlieferung_Leg!S29</f>
        <v>Ertragsanteil von Leguminosen 0</v>
      </c>
      <c r="G32" s="296"/>
      <c r="H32" s="296"/>
      <c r="I32" s="297"/>
      <c r="J32" s="407" t="str">
        <f>IF(Kulturen!H119=1,"",ROUND(Nachlieferung_Leg!K42*-1,0))</f>
        <v/>
      </c>
      <c r="K32" s="1750"/>
      <c r="O32" s="4"/>
      <c r="P32" s="4"/>
      <c r="Q32" s="4"/>
    </row>
    <row r="33" spans="1:17" x14ac:dyDescent="0.2">
      <c r="C33" s="47"/>
      <c r="D33" s="48"/>
      <c r="E33" s="29"/>
      <c r="F33" s="49"/>
      <c r="G33" s="49"/>
      <c r="H33" s="49"/>
      <c r="I33" s="49"/>
      <c r="J33" s="350"/>
      <c r="K33" s="1746"/>
      <c r="O33" s="4"/>
      <c r="P33" s="4"/>
      <c r="Q33" s="4"/>
    </row>
    <row r="34" spans="1:17" ht="13.7" customHeight="1" x14ac:dyDescent="0.25">
      <c r="C34" s="43"/>
      <c r="D34" s="44"/>
      <c r="E34" s="45"/>
      <c r="F34" s="45"/>
      <c r="G34" s="45"/>
      <c r="H34" s="97"/>
      <c r="I34" s="109" t="s">
        <v>4576</v>
      </c>
      <c r="J34" s="176" t="str">
        <f>IF(Kulturen!H119=1,"",IF((J24+J26+J28+J30+J32)&lt;0,0,J24+J26+J28+J30+J32))</f>
        <v/>
      </c>
      <c r="K34" s="1750"/>
      <c r="O34" s="4"/>
      <c r="P34" s="4"/>
      <c r="Q34" s="4"/>
    </row>
    <row r="35" spans="1:17" x14ac:dyDescent="0.2">
      <c r="C35" s="47"/>
      <c r="D35" s="48"/>
      <c r="E35" s="49"/>
      <c r="F35" s="49"/>
      <c r="G35" s="49"/>
      <c r="H35" s="49"/>
      <c r="I35" s="49"/>
      <c r="J35" s="50"/>
      <c r="K35" s="1750"/>
      <c r="O35" s="4"/>
      <c r="P35" s="4"/>
      <c r="Q35" s="4"/>
    </row>
    <row r="36" spans="1:17" x14ac:dyDescent="0.2">
      <c r="C36" s="622"/>
      <c r="D36" s="48"/>
      <c r="E36" s="49"/>
      <c r="F36" s="49"/>
      <c r="G36" s="4"/>
      <c r="H36" s="4"/>
      <c r="I36" s="4"/>
      <c r="J36" s="619" t="str">
        <f>IF(Kulturen!H119=1,"",IF(Kulturen!I179&gt;0,Kommentarliste!J14,Kommentarliste!J12))</f>
        <v/>
      </c>
      <c r="K36" s="1749" t="str">
        <f>IF(Kommentarliste!R89=0,"",HYPERLINK("#GL_Kommentare!A1","&gt;&gt;&gt; Bitte Kommentare zum Ergebnis einsehen!"))</f>
        <v>&gt;&gt;&gt; Bitte Kommentare zum Ergebnis einsehen!</v>
      </c>
      <c r="O36" s="4"/>
      <c r="P36" s="4"/>
      <c r="Q36" s="4"/>
    </row>
    <row r="37" spans="1:17" ht="13.7" customHeight="1" x14ac:dyDescent="0.2">
      <c r="B37" s="59"/>
      <c r="C37" s="255"/>
      <c r="D37" s="256"/>
      <c r="E37" s="257"/>
      <c r="F37" s="257"/>
      <c r="G37" s="257"/>
      <c r="H37" s="257"/>
      <c r="I37" s="257"/>
      <c r="J37" s="267"/>
      <c r="K37" s="1750"/>
      <c r="O37" s="4"/>
      <c r="P37" s="4"/>
      <c r="Q37" s="4"/>
    </row>
    <row r="38" spans="1:17" x14ac:dyDescent="0.2">
      <c r="B38" s="59"/>
      <c r="C38" s="38"/>
      <c r="D38" s="39"/>
      <c r="E38" s="41"/>
      <c r="F38" s="41"/>
      <c r="G38" s="41"/>
      <c r="H38" s="41"/>
      <c r="I38" s="41"/>
      <c r="J38" s="42"/>
      <c r="K38" s="1750"/>
      <c r="O38" s="4"/>
      <c r="P38" s="4"/>
      <c r="Q38" s="4"/>
    </row>
    <row r="39" spans="1:17" ht="15" x14ac:dyDescent="0.25">
      <c r="B39" s="59"/>
      <c r="C39" s="339" t="s">
        <v>34</v>
      </c>
      <c r="D39" s="332"/>
      <c r="E39" s="332"/>
      <c r="F39" s="341"/>
      <c r="G39" s="332"/>
      <c r="H39" s="332"/>
      <c r="I39" s="332"/>
      <c r="J39" s="333"/>
      <c r="K39" s="1746"/>
      <c r="O39" s="4"/>
      <c r="P39" s="4"/>
      <c r="Q39" s="4"/>
    </row>
    <row r="40" spans="1:17" s="59" customFormat="1" ht="13.7" customHeight="1" x14ac:dyDescent="0.2">
      <c r="A40" s="198"/>
      <c r="C40" s="57"/>
      <c r="D40" s="58"/>
      <c r="E40" s="58"/>
      <c r="F40" s="58"/>
      <c r="G40" s="58"/>
      <c r="H40" s="457" t="s">
        <v>35</v>
      </c>
      <c r="I40" s="458" t="s">
        <v>36</v>
      </c>
      <c r="J40" s="459" t="s">
        <v>25</v>
      </c>
      <c r="K40" s="1747"/>
      <c r="L40"/>
      <c r="M40"/>
      <c r="N40"/>
      <c r="O40" s="58"/>
      <c r="P40" s="58"/>
      <c r="Q40" s="58"/>
    </row>
    <row r="41" spans="1:17" x14ac:dyDescent="0.2">
      <c r="B41" s="59"/>
      <c r="C41" s="279" t="s">
        <v>13</v>
      </c>
      <c r="D41" s="214"/>
      <c r="E41" s="280"/>
      <c r="F41" s="281" t="str">
        <f>F19</f>
        <v>auswählen !</v>
      </c>
      <c r="G41" s="298"/>
      <c r="H41" s="408" t="s">
        <v>37</v>
      </c>
      <c r="I41" s="377" t="s">
        <v>37</v>
      </c>
      <c r="J41" s="378" t="s">
        <v>37</v>
      </c>
      <c r="K41" s="1746"/>
      <c r="O41" s="4"/>
      <c r="P41" s="4"/>
      <c r="Q41" s="4"/>
    </row>
    <row r="42" spans="1:17" x14ac:dyDescent="0.2">
      <c r="B42" s="59"/>
      <c r="C42" s="53" t="s">
        <v>3947</v>
      </c>
      <c r="D42" s="8"/>
      <c r="E42" s="55"/>
      <c r="F42" s="282">
        <f>F20</f>
        <v>0</v>
      </c>
      <c r="G42" s="267"/>
      <c r="H42" s="387"/>
      <c r="I42" s="354"/>
      <c r="J42" s="354"/>
      <c r="K42" s="1746"/>
      <c r="O42" s="4"/>
      <c r="P42" s="4"/>
      <c r="Q42" s="4"/>
    </row>
    <row r="43" spans="1:17" s="59" customFormat="1" ht="13.7" customHeight="1" x14ac:dyDescent="0.2">
      <c r="A43" s="198"/>
      <c r="C43" s="274" t="s">
        <v>3508</v>
      </c>
      <c r="D43" s="275"/>
      <c r="E43" s="276"/>
      <c r="F43" s="277" t="str">
        <f>ROUND(Kulturen!H201,0)&amp;" * "&amp;Kulturen!H185&amp;" / "&amp;Kulturen!H193&amp;" / "&amp;Kulturen!H202</f>
        <v>0 * 0 / 0 / 0</v>
      </c>
      <c r="G43" s="299"/>
      <c r="H43" s="409" t="str">
        <f>IF(Kulturen!H119=1,"",ROUND(Kulturen!H186,0))</f>
        <v/>
      </c>
      <c r="I43" s="381" t="str">
        <f>IF(Kulturen!H119=1,"",ROUND(Kulturen!H195,0))</f>
        <v/>
      </c>
      <c r="J43" s="381" t="str">
        <f>IF(Kulturen!H119=1,"",ROUND(Kulturen!H204,0))</f>
        <v/>
      </c>
      <c r="K43" s="1747"/>
      <c r="L43"/>
      <c r="M43"/>
      <c r="N43"/>
      <c r="O43" s="58"/>
      <c r="P43" s="58"/>
      <c r="Q43" s="58"/>
    </row>
    <row r="44" spans="1:17" s="59" customFormat="1" ht="27" customHeight="1" x14ac:dyDescent="0.2">
      <c r="A44" s="198"/>
      <c r="C44" s="1885" t="s">
        <v>4778</v>
      </c>
      <c r="D44" s="1886"/>
      <c r="E44" s="1887"/>
      <c r="F44" s="1685" t="str">
        <f>Kulturen!H187&amp;" / "&amp;Kulturen!H194&amp;" / "&amp;Kulturen!H203</f>
        <v xml:space="preserve"> /  / </v>
      </c>
      <c r="G44" s="1690"/>
      <c r="H44" s="1691" t="str">
        <f>IF(Kulturen!H119=1,"",IF(Kulturen!H208="","",ROUND(Kulturen!H208,0)))</f>
        <v/>
      </c>
      <c r="I44" s="1692" t="str">
        <f>IF(Kulturen!H119=1,"",IF(Kulturen!H209="","",ROUND(Kulturen!H209,0)))</f>
        <v/>
      </c>
      <c r="J44" s="1692" t="str">
        <f>IF(Kulturen!H119=1,"",IF(Kulturen!H210="","",ROUND(Kulturen!H210,0)))</f>
        <v/>
      </c>
      <c r="K44" s="1747"/>
      <c r="L44"/>
      <c r="M44"/>
      <c r="N44"/>
      <c r="O44" s="58"/>
      <c r="P44" s="58"/>
      <c r="Q44" s="58"/>
    </row>
    <row r="45" spans="1:17" x14ac:dyDescent="0.2">
      <c r="B45" s="59"/>
      <c r="C45" s="65" t="s">
        <v>4779</v>
      </c>
      <c r="D45" s="4"/>
      <c r="E45" s="48"/>
      <c r="F45" s="168"/>
      <c r="G45" s="293"/>
      <c r="H45" s="410"/>
      <c r="I45" s="411"/>
      <c r="J45" s="411"/>
      <c r="K45" s="1746"/>
      <c r="O45" s="58"/>
      <c r="P45" s="4"/>
      <c r="Q45" s="4"/>
    </row>
    <row r="46" spans="1:17" x14ac:dyDescent="0.2">
      <c r="C46" s="47"/>
      <c r="D46" s="48"/>
      <c r="E46" s="49"/>
      <c r="F46" s="49"/>
      <c r="G46" s="49"/>
      <c r="H46" s="45"/>
      <c r="I46" s="69"/>
      <c r="J46" s="184"/>
      <c r="K46" s="1746"/>
      <c r="O46" s="4"/>
      <c r="P46" s="4"/>
      <c r="Q46" s="4"/>
    </row>
    <row r="47" spans="1:17" s="59" customFormat="1" ht="14.25" customHeight="1" x14ac:dyDescent="0.2">
      <c r="A47" s="198"/>
      <c r="C47" s="244"/>
      <c r="D47" s="245"/>
      <c r="E47" s="245"/>
      <c r="F47" s="245"/>
      <c r="G47" s="246" t="s">
        <v>4266</v>
      </c>
      <c r="H47" s="566"/>
      <c r="I47" s="247" t="str">
        <f>IF(ISERROR(Kulturen!H197),"",I43+I44)</f>
        <v/>
      </c>
      <c r="J47" s="248" t="str">
        <f>IF(ISERROR(Kulturen!H206),"",J43+J44)</f>
        <v/>
      </c>
      <c r="K47" s="1747"/>
      <c r="P47" s="58"/>
      <c r="Q47" s="58"/>
    </row>
    <row r="48" spans="1:17" s="59" customFormat="1" ht="14.25" customHeight="1" x14ac:dyDescent="0.2">
      <c r="A48" s="198"/>
      <c r="C48" s="249"/>
      <c r="D48" s="250"/>
      <c r="E48" s="250"/>
      <c r="F48" s="250"/>
      <c r="G48" s="251" t="s">
        <v>4526</v>
      </c>
      <c r="H48" s="252" t="str">
        <f>IF(ISERROR(Kulturen!H189),"",H43+H44)</f>
        <v/>
      </c>
      <c r="I48" s="252"/>
      <c r="J48" s="284"/>
      <c r="K48" s="1747"/>
      <c r="O48" s="58"/>
      <c r="P48" s="58"/>
      <c r="Q48" s="58"/>
    </row>
    <row r="49" spans="3:17" x14ac:dyDescent="0.2">
      <c r="C49" s="47"/>
      <c r="D49" s="48"/>
      <c r="E49" s="49"/>
      <c r="F49" s="49"/>
      <c r="G49" s="49"/>
      <c r="H49" s="49"/>
      <c r="I49" s="49"/>
      <c r="J49" s="50"/>
      <c r="K49" s="1746"/>
      <c r="O49" s="4"/>
      <c r="P49" s="4"/>
      <c r="Q49" s="4"/>
    </row>
    <row r="50" spans="3:17" ht="13.7" customHeight="1" x14ac:dyDescent="0.2">
      <c r="C50" s="622"/>
      <c r="D50" s="48"/>
      <c r="E50" s="49"/>
      <c r="F50" s="49"/>
      <c r="G50" s="49"/>
      <c r="H50" s="4"/>
      <c r="I50" s="49"/>
      <c r="J50" s="623" t="str">
        <f>IF(Kulturen!H119=1,"",IF(Kommentarliste!R95=0,Kommentarliste!J12,Kommentarliste!J14))</f>
        <v/>
      </c>
      <c r="K50" s="1749" t="str">
        <f>IF(Kommentarliste!R108=0,"",HYPERLINK("#GL_Kommentare!A10","&gt;&gt;&gt; Bitte Kommentare zum Ergebnis einsehen!"))</f>
        <v>&gt;&gt;&gt; Bitte Kommentare zum Ergebnis einsehen!</v>
      </c>
      <c r="O50" s="4"/>
      <c r="P50" s="4"/>
      <c r="Q50" s="4"/>
    </row>
    <row r="51" spans="3:17" ht="13.7" customHeight="1" x14ac:dyDescent="0.2">
      <c r="C51" s="259"/>
      <c r="D51" s="54"/>
      <c r="E51" s="55"/>
      <c r="F51" s="55"/>
      <c r="G51" s="55"/>
      <c r="H51" s="8"/>
      <c r="I51" s="55"/>
      <c r="J51" s="271"/>
      <c r="K51" s="1746"/>
      <c r="O51" s="4"/>
      <c r="P51" s="4"/>
      <c r="Q51" s="4"/>
    </row>
    <row r="52" spans="3:17" ht="13.7" customHeight="1" x14ac:dyDescent="0.2">
      <c r="C52" s="47"/>
      <c r="D52" s="48"/>
      <c r="E52" s="49"/>
      <c r="F52" s="49"/>
      <c r="G52" s="49"/>
      <c r="H52" s="4"/>
      <c r="I52" s="49"/>
      <c r="J52" s="51"/>
      <c r="K52" s="1746"/>
      <c r="O52" s="4"/>
      <c r="P52" s="4"/>
      <c r="Q52" s="4"/>
    </row>
    <row r="53" spans="3:17" ht="13.7" customHeight="1" x14ac:dyDescent="0.25">
      <c r="C53" s="416" t="s">
        <v>38</v>
      </c>
      <c r="D53" s="413"/>
      <c r="E53" s="414"/>
      <c r="F53" s="414"/>
      <c r="G53" s="414"/>
      <c r="H53" s="414"/>
      <c r="I53" s="414"/>
      <c r="J53" s="415"/>
      <c r="K53" s="1746"/>
      <c r="O53" s="4"/>
      <c r="P53" s="4"/>
      <c r="Q53" s="4"/>
    </row>
    <row r="54" spans="3:17" x14ac:dyDescent="0.2">
      <c r="C54" s="5"/>
      <c r="D54" s="4"/>
      <c r="E54" s="4"/>
      <c r="F54" s="4"/>
      <c r="G54" s="4"/>
      <c r="H54" s="4"/>
      <c r="I54" s="49"/>
      <c r="J54" s="50"/>
      <c r="K54" s="1746"/>
      <c r="O54" s="4"/>
      <c r="P54" s="4"/>
      <c r="Q54" s="4"/>
    </row>
    <row r="55" spans="3:17" x14ac:dyDescent="0.2">
      <c r="C55" s="279" t="s">
        <v>13</v>
      </c>
      <c r="D55" s="214"/>
      <c r="E55" s="280"/>
      <c r="F55" s="281" t="str">
        <f>F19</f>
        <v>auswählen !</v>
      </c>
      <c r="G55" s="214"/>
      <c r="H55" s="3"/>
      <c r="I55" s="241"/>
      <c r="J55" s="243"/>
      <c r="K55" s="1746"/>
      <c r="O55" s="4"/>
      <c r="P55" s="4"/>
      <c r="Q55" s="4"/>
    </row>
    <row r="56" spans="3:17" x14ac:dyDescent="0.2">
      <c r="C56" s="53" t="s">
        <v>3577</v>
      </c>
      <c r="D56" s="8"/>
      <c r="E56" s="55"/>
      <c r="F56" s="255" t="str">
        <f>GL_Kalk!E62</f>
        <v>sandiger bis schluffiger Lehm, sL - uL</v>
      </c>
      <c r="G56" s="8"/>
      <c r="H56" s="55"/>
      <c r="I56" s="8"/>
      <c r="J56" s="9"/>
      <c r="K56" s="1746"/>
      <c r="O56" s="4"/>
      <c r="P56" s="4"/>
      <c r="Q56" s="4"/>
    </row>
    <row r="57" spans="3:17" x14ac:dyDescent="0.2">
      <c r="C57" s="62" t="s">
        <v>40</v>
      </c>
      <c r="D57" s="31"/>
      <c r="E57" s="63"/>
      <c r="F57" s="138">
        <f>GL_Eingabe!F47</f>
        <v>0</v>
      </c>
      <c r="G57" s="63"/>
      <c r="H57" s="63"/>
      <c r="I57" s="31"/>
      <c r="J57" s="13"/>
      <c r="K57" s="1746"/>
      <c r="O57" s="4"/>
      <c r="P57" s="4"/>
      <c r="Q57" s="4"/>
    </row>
    <row r="58" spans="3:17" x14ac:dyDescent="0.2">
      <c r="C58" s="47" t="s">
        <v>41</v>
      </c>
      <c r="D58" s="4"/>
      <c r="E58" s="49"/>
      <c r="F58" s="71">
        <f>GL_Kalk!E64</f>
        <v>6.0000000000000098</v>
      </c>
      <c r="G58" s="110" t="str">
        <f>IF(GL_Eingabe!F47=0,"",GL_Kalk!D67)</f>
        <v/>
      </c>
      <c r="H58" s="4"/>
      <c r="I58" s="49"/>
      <c r="J58" s="50"/>
      <c r="K58" s="1746"/>
      <c r="O58" s="4"/>
      <c r="P58" s="4"/>
      <c r="Q58" s="4"/>
    </row>
    <row r="59" spans="3:17" ht="14.25" customHeight="1" x14ac:dyDescent="0.25">
      <c r="C59" s="67"/>
      <c r="D59" s="68"/>
      <c r="E59" s="69"/>
      <c r="F59" s="69"/>
      <c r="G59" s="72"/>
      <c r="H59" s="72"/>
      <c r="I59" s="108" t="s">
        <v>42</v>
      </c>
      <c r="J59" s="172" t="str">
        <f>IF(Kommentarliste!$R$107=1,"",GL_Kalk!D65)</f>
        <v/>
      </c>
      <c r="K59" s="1746"/>
      <c r="O59" s="4"/>
      <c r="P59" s="4"/>
      <c r="Q59" s="4"/>
    </row>
    <row r="60" spans="3:17" ht="15" x14ac:dyDescent="0.25">
      <c r="C60" s="67"/>
      <c r="D60" s="68"/>
      <c r="E60" s="69"/>
      <c r="F60" s="69"/>
      <c r="G60" s="69"/>
      <c r="H60" s="69"/>
      <c r="I60" s="108" t="s">
        <v>43</v>
      </c>
      <c r="J60" s="172" t="str">
        <f>IF(Kommentarliste!$R$107=1,"",GL_Kalk!D66)</f>
        <v/>
      </c>
      <c r="K60" s="1746"/>
      <c r="O60" s="4"/>
      <c r="P60" s="4"/>
      <c r="Q60" s="4"/>
    </row>
    <row r="61" spans="3:17" x14ac:dyDescent="0.2">
      <c r="C61" s="259"/>
      <c r="D61" s="54"/>
      <c r="E61" s="55"/>
      <c r="F61" s="55"/>
      <c r="G61" s="55"/>
      <c r="H61" s="55"/>
      <c r="I61" s="55"/>
      <c r="J61" s="56"/>
      <c r="K61" s="1746"/>
      <c r="O61" s="4"/>
      <c r="P61" s="4"/>
      <c r="Q61" s="4"/>
    </row>
    <row r="62" spans="3:17" x14ac:dyDescent="0.2">
      <c r="C62" s="73"/>
      <c r="D62" s="73"/>
      <c r="E62" s="74"/>
      <c r="F62" s="74"/>
      <c r="G62" s="74"/>
      <c r="H62" s="74"/>
      <c r="I62" s="74"/>
      <c r="J62" s="74"/>
      <c r="O62" s="4"/>
      <c r="P62" s="4"/>
      <c r="Q62" s="4"/>
    </row>
    <row r="63" spans="3:17" x14ac:dyDescent="0.2">
      <c r="C63" s="74"/>
      <c r="D63" s="74"/>
      <c r="E63" s="74"/>
      <c r="F63" s="74"/>
      <c r="G63" s="74"/>
      <c r="H63" s="74"/>
      <c r="I63" s="74"/>
      <c r="J63" s="74"/>
      <c r="O63" s="4"/>
      <c r="P63" s="4"/>
      <c r="Q63" s="4"/>
    </row>
    <row r="64" spans="3:17" x14ac:dyDescent="0.2">
      <c r="C64" s="74"/>
      <c r="D64" s="74"/>
      <c r="E64" s="74"/>
      <c r="F64" s="74"/>
      <c r="G64" s="74"/>
      <c r="H64" s="74"/>
      <c r="I64" s="74"/>
      <c r="J64" s="74"/>
      <c r="O64" s="4"/>
      <c r="P64" s="4"/>
      <c r="Q64" s="4"/>
    </row>
    <row r="65" spans="3:17" x14ac:dyDescent="0.2">
      <c r="C65" s="74"/>
      <c r="D65" s="74"/>
      <c r="E65" s="74"/>
      <c r="F65" s="74"/>
      <c r="G65" s="74"/>
      <c r="H65" s="74"/>
      <c r="I65" s="74"/>
      <c r="J65" s="74"/>
      <c r="O65" s="4"/>
      <c r="P65" s="4"/>
      <c r="Q65" s="4"/>
    </row>
    <row r="66" spans="3:17" x14ac:dyDescent="0.2">
      <c r="C66" s="74"/>
      <c r="D66" s="74"/>
      <c r="E66" s="74"/>
      <c r="F66" s="74"/>
      <c r="G66" s="74"/>
      <c r="H66" s="74"/>
      <c r="I66" s="74"/>
      <c r="J66" s="74"/>
      <c r="O66" s="4"/>
      <c r="P66" s="4"/>
      <c r="Q66" s="4"/>
    </row>
    <row r="67" spans="3:17" x14ac:dyDescent="0.2">
      <c r="C67" s="74"/>
      <c r="D67" s="74"/>
      <c r="E67" s="74"/>
      <c r="F67" s="74"/>
      <c r="G67" s="74"/>
      <c r="H67" s="74"/>
      <c r="I67" s="74"/>
      <c r="J67" s="74"/>
      <c r="O67" s="4"/>
      <c r="P67" s="4"/>
      <c r="Q67" s="4"/>
    </row>
    <row r="68" spans="3:17" x14ac:dyDescent="0.2">
      <c r="C68" s="74"/>
      <c r="D68" s="74"/>
      <c r="E68" s="74"/>
      <c r="F68" s="74"/>
      <c r="G68" s="74"/>
      <c r="H68" s="74"/>
      <c r="I68" s="74"/>
      <c r="J68" s="74"/>
      <c r="O68" s="4"/>
      <c r="P68" s="4"/>
      <c r="Q68" s="4"/>
    </row>
    <row r="69" spans="3:17" x14ac:dyDescent="0.2">
      <c r="C69" s="74"/>
      <c r="D69" s="74"/>
      <c r="E69" s="74"/>
      <c r="F69" s="74"/>
      <c r="G69" s="74"/>
      <c r="H69" s="74"/>
      <c r="I69" s="74"/>
      <c r="J69" s="74"/>
      <c r="O69" s="4"/>
      <c r="P69" s="4"/>
      <c r="Q69" s="4"/>
    </row>
    <row r="70" spans="3:17" x14ac:dyDescent="0.2">
      <c r="C70" s="74"/>
      <c r="D70" s="74"/>
      <c r="E70" s="74"/>
      <c r="F70" s="74"/>
      <c r="G70" s="74"/>
      <c r="H70" s="74"/>
      <c r="I70" s="74"/>
      <c r="J70" s="74"/>
      <c r="O70" s="4"/>
      <c r="P70" s="4"/>
      <c r="Q70" s="4"/>
    </row>
    <row r="71" spans="3:17" x14ac:dyDescent="0.2">
      <c r="C71" s="74"/>
      <c r="D71" s="74"/>
      <c r="E71" s="74"/>
      <c r="F71" s="74"/>
      <c r="G71" s="74"/>
      <c r="H71" s="74"/>
      <c r="I71" s="74"/>
      <c r="J71" s="74"/>
      <c r="O71" s="4"/>
      <c r="P71" s="4"/>
      <c r="Q71" s="4"/>
    </row>
    <row r="72" spans="3:17" x14ac:dyDescent="0.2">
      <c r="C72" s="74"/>
      <c r="D72" s="74"/>
      <c r="E72" s="74"/>
      <c r="F72" s="74"/>
      <c r="G72" s="74"/>
      <c r="H72" s="74"/>
      <c r="I72" s="74"/>
      <c r="J72" s="74"/>
      <c r="O72" s="4"/>
      <c r="P72" s="4"/>
      <c r="Q72" s="4"/>
    </row>
    <row r="73" spans="3:17" x14ac:dyDescent="0.2">
      <c r="C73" s="74"/>
      <c r="D73" s="74"/>
      <c r="E73" s="74"/>
      <c r="F73" s="74"/>
      <c r="G73" s="74"/>
      <c r="H73" s="74"/>
      <c r="I73" s="74"/>
      <c r="J73" s="74"/>
      <c r="O73" s="4"/>
      <c r="P73" s="4"/>
      <c r="Q73" s="4"/>
    </row>
    <row r="74" spans="3:17" x14ac:dyDescent="0.2">
      <c r="C74" s="74"/>
      <c r="D74" s="74"/>
      <c r="E74" s="74"/>
      <c r="F74" s="74"/>
      <c r="G74" s="74"/>
      <c r="H74" s="74"/>
      <c r="I74" s="74"/>
      <c r="J74" s="74"/>
      <c r="O74" s="4"/>
      <c r="P74" s="4"/>
      <c r="Q74" s="4"/>
    </row>
    <row r="75" spans="3:17" x14ac:dyDescent="0.2">
      <c r="C75" s="74"/>
      <c r="D75" s="74"/>
      <c r="E75" s="74"/>
      <c r="F75" s="74"/>
      <c r="G75" s="74"/>
      <c r="H75" s="74"/>
      <c r="I75" s="74"/>
      <c r="J75" s="74"/>
      <c r="O75" s="4"/>
      <c r="P75" s="4"/>
      <c r="Q75" s="4"/>
    </row>
    <row r="76" spans="3:17" x14ac:dyDescent="0.2">
      <c r="C76" s="74"/>
      <c r="D76" s="74"/>
      <c r="E76" s="74"/>
      <c r="F76" s="74"/>
      <c r="G76" s="74"/>
      <c r="H76" s="74"/>
      <c r="I76" s="74"/>
      <c r="J76" s="74"/>
      <c r="O76" s="4"/>
      <c r="P76" s="4"/>
      <c r="Q76" s="4"/>
    </row>
    <row r="77" spans="3:17" x14ac:dyDescent="0.2">
      <c r="C77" s="74"/>
      <c r="D77" s="74"/>
      <c r="E77" s="74"/>
      <c r="F77" s="74"/>
      <c r="G77" s="74"/>
      <c r="H77" s="74"/>
      <c r="I77" s="74"/>
      <c r="J77" s="74"/>
      <c r="O77" s="4"/>
      <c r="P77" s="4"/>
      <c r="Q77" s="4"/>
    </row>
    <row r="78" spans="3:17" x14ac:dyDescent="0.2">
      <c r="C78" s="74"/>
      <c r="D78" s="74"/>
      <c r="E78" s="74"/>
      <c r="F78" s="74"/>
      <c r="G78" s="74"/>
      <c r="H78" s="74"/>
      <c r="I78" s="74"/>
      <c r="J78" s="74"/>
      <c r="O78" s="4"/>
      <c r="P78" s="4"/>
      <c r="Q78" s="4"/>
    </row>
    <row r="79" spans="3:17" x14ac:dyDescent="0.2">
      <c r="C79" s="74"/>
      <c r="D79" s="74"/>
      <c r="E79" s="74"/>
      <c r="F79" s="74"/>
      <c r="G79" s="74"/>
      <c r="H79" s="74"/>
      <c r="I79" s="74"/>
      <c r="J79" s="74"/>
      <c r="O79" s="4"/>
      <c r="P79" s="4"/>
      <c r="Q79" s="4"/>
    </row>
    <row r="80" spans="3:17" x14ac:dyDescent="0.2">
      <c r="C80" s="74"/>
      <c r="D80" s="74"/>
      <c r="E80" s="74"/>
      <c r="F80" s="74"/>
      <c r="G80" s="74"/>
      <c r="H80" s="74"/>
      <c r="I80" s="74"/>
      <c r="J80" s="74"/>
      <c r="O80" s="4"/>
      <c r="P80" s="4"/>
      <c r="Q80" s="4"/>
    </row>
    <row r="81" spans="3:17" x14ac:dyDescent="0.2">
      <c r="C81" s="74"/>
      <c r="D81" s="74"/>
      <c r="E81" s="74"/>
      <c r="F81" s="74"/>
      <c r="G81" s="74"/>
      <c r="H81" s="74"/>
      <c r="I81" s="74"/>
      <c r="J81" s="74"/>
      <c r="O81" s="4"/>
      <c r="P81" s="4"/>
      <c r="Q81" s="4"/>
    </row>
    <row r="82" spans="3:17" x14ac:dyDescent="0.2">
      <c r="C82" s="74"/>
      <c r="D82" s="74"/>
      <c r="E82" s="74"/>
      <c r="F82" s="74"/>
      <c r="G82" s="74"/>
      <c r="H82" s="74"/>
      <c r="I82" s="74"/>
      <c r="J82" s="74"/>
      <c r="O82" s="4"/>
      <c r="P82" s="4"/>
      <c r="Q82" s="4"/>
    </row>
    <row r="83" spans="3:17" x14ac:dyDescent="0.2">
      <c r="C83" s="74"/>
      <c r="D83" s="74"/>
      <c r="E83" s="74"/>
      <c r="F83" s="74"/>
      <c r="G83" s="74"/>
      <c r="H83" s="74"/>
      <c r="I83" s="74"/>
      <c r="J83" s="74"/>
      <c r="O83" s="4"/>
      <c r="P83" s="4"/>
      <c r="Q83" s="4"/>
    </row>
    <row r="84" spans="3:17" x14ac:dyDescent="0.2">
      <c r="C84" s="74"/>
      <c r="D84" s="74"/>
      <c r="E84" s="74"/>
      <c r="F84" s="74"/>
      <c r="G84" s="74"/>
      <c r="H84" s="74"/>
      <c r="I84" s="74"/>
      <c r="J84" s="74"/>
      <c r="O84" s="4"/>
      <c r="P84" s="4"/>
      <c r="Q84" s="4"/>
    </row>
    <row r="85" spans="3:17" x14ac:dyDescent="0.2">
      <c r="C85" s="74"/>
      <c r="D85" s="74"/>
      <c r="E85" s="74"/>
      <c r="F85" s="74"/>
      <c r="G85" s="74"/>
      <c r="H85" s="74"/>
      <c r="I85" s="74"/>
      <c r="J85" s="74"/>
      <c r="O85" s="4"/>
      <c r="P85" s="4"/>
      <c r="Q85" s="4"/>
    </row>
    <row r="86" spans="3:17" x14ac:dyDescent="0.2">
      <c r="C86" s="74"/>
      <c r="D86" s="74"/>
      <c r="E86" s="74"/>
      <c r="F86" s="74"/>
      <c r="G86" s="74"/>
      <c r="H86" s="74"/>
      <c r="I86" s="74"/>
      <c r="J86" s="74"/>
      <c r="O86" s="4"/>
      <c r="P86" s="4"/>
      <c r="Q86" s="4"/>
    </row>
    <row r="87" spans="3:17" x14ac:dyDescent="0.2">
      <c r="C87" s="74"/>
      <c r="D87" s="74"/>
      <c r="E87" s="74"/>
      <c r="F87" s="74"/>
      <c r="G87" s="74"/>
      <c r="H87" s="74"/>
      <c r="I87" s="74"/>
      <c r="J87" s="74"/>
      <c r="O87" s="4"/>
      <c r="P87" s="4"/>
      <c r="Q87" s="4"/>
    </row>
    <row r="88" spans="3:17" x14ac:dyDescent="0.2">
      <c r="C88" s="74"/>
      <c r="D88" s="74"/>
      <c r="E88" s="74"/>
      <c r="F88" s="74"/>
      <c r="G88" s="74"/>
      <c r="H88" s="74"/>
      <c r="I88" s="74"/>
      <c r="J88" s="74"/>
      <c r="O88" s="4"/>
      <c r="P88" s="4"/>
      <c r="Q88" s="4"/>
    </row>
    <row r="89" spans="3:17" x14ac:dyDescent="0.2">
      <c r="C89" s="74"/>
      <c r="D89" s="74"/>
      <c r="E89" s="74"/>
      <c r="F89" s="74"/>
      <c r="G89" s="74"/>
      <c r="H89" s="74"/>
      <c r="I89" s="74"/>
      <c r="J89" s="74"/>
      <c r="O89" s="4"/>
      <c r="P89" s="4"/>
      <c r="Q89" s="4"/>
    </row>
    <row r="90" spans="3:17" x14ac:dyDescent="0.2">
      <c r="C90" s="74"/>
      <c r="D90" s="74"/>
      <c r="E90" s="74"/>
      <c r="F90" s="74"/>
      <c r="G90" s="74"/>
      <c r="H90" s="74"/>
      <c r="I90" s="74"/>
      <c r="J90" s="74"/>
      <c r="O90" s="4"/>
      <c r="P90" s="4"/>
      <c r="Q90" s="4"/>
    </row>
    <row r="91" spans="3:17" x14ac:dyDescent="0.2">
      <c r="C91" s="74"/>
      <c r="D91" s="74"/>
      <c r="E91" s="74"/>
      <c r="F91" s="74"/>
      <c r="G91" s="74"/>
      <c r="H91" s="74"/>
      <c r="I91" s="74"/>
      <c r="J91" s="74"/>
      <c r="O91" s="4"/>
      <c r="P91" s="4"/>
      <c r="Q91" s="4"/>
    </row>
    <row r="92" spans="3:17" x14ac:dyDescent="0.2">
      <c r="C92" s="74"/>
      <c r="D92" s="74"/>
      <c r="E92" s="74"/>
      <c r="F92" s="74"/>
      <c r="G92" s="74"/>
      <c r="H92" s="74"/>
      <c r="I92" s="74"/>
      <c r="J92" s="74"/>
      <c r="O92" s="4"/>
      <c r="P92" s="4"/>
      <c r="Q92" s="4"/>
    </row>
    <row r="93" spans="3:17" x14ac:dyDescent="0.2">
      <c r="C93" s="74"/>
      <c r="D93" s="74"/>
      <c r="E93" s="74"/>
      <c r="F93" s="74"/>
      <c r="G93" s="74"/>
      <c r="H93" s="74"/>
      <c r="I93" s="74"/>
      <c r="J93" s="74"/>
      <c r="O93" s="4"/>
      <c r="P93" s="4"/>
      <c r="Q93" s="4"/>
    </row>
    <row r="94" spans="3:17" x14ac:dyDescent="0.2">
      <c r="C94" s="74"/>
      <c r="D94" s="74"/>
      <c r="E94" s="74"/>
      <c r="F94" s="74"/>
      <c r="G94" s="74"/>
      <c r="H94" s="74"/>
      <c r="I94" s="74"/>
      <c r="J94" s="74"/>
      <c r="O94" s="4"/>
      <c r="P94" s="4"/>
      <c r="Q94" s="4"/>
    </row>
    <row r="95" spans="3:17" x14ac:dyDescent="0.2">
      <c r="C95" s="74"/>
      <c r="D95" s="74"/>
      <c r="E95" s="74"/>
      <c r="F95" s="74"/>
      <c r="G95" s="74"/>
      <c r="H95" s="74"/>
      <c r="I95" s="74"/>
      <c r="J95" s="74"/>
      <c r="O95" s="4"/>
      <c r="P95" s="4"/>
      <c r="Q95" s="4"/>
    </row>
    <row r="96" spans="3:17" x14ac:dyDescent="0.2">
      <c r="C96" s="74"/>
      <c r="D96" s="74"/>
      <c r="E96" s="74"/>
      <c r="F96" s="74"/>
      <c r="G96" s="74"/>
      <c r="H96" s="74"/>
      <c r="I96" s="74"/>
      <c r="J96" s="74"/>
      <c r="O96" s="4"/>
      <c r="P96" s="4"/>
      <c r="Q96" s="4"/>
    </row>
    <row r="97" spans="3:17" x14ac:dyDescent="0.2">
      <c r="C97" s="74"/>
      <c r="D97" s="74"/>
      <c r="E97" s="74"/>
      <c r="F97" s="74"/>
      <c r="G97" s="74"/>
      <c r="H97" s="74"/>
      <c r="I97" s="74"/>
      <c r="J97" s="74"/>
      <c r="O97" s="4"/>
      <c r="P97" s="4"/>
      <c r="Q97" s="4"/>
    </row>
    <row r="98" spans="3:17" x14ac:dyDescent="0.2">
      <c r="C98" s="74"/>
      <c r="D98" s="74"/>
      <c r="E98" s="74"/>
      <c r="F98" s="74"/>
      <c r="G98" s="74"/>
      <c r="H98" s="74"/>
      <c r="I98" s="74"/>
      <c r="J98" s="74"/>
      <c r="O98" s="4"/>
      <c r="P98" s="4"/>
      <c r="Q98" s="4"/>
    </row>
    <row r="99" spans="3:17" x14ac:dyDescent="0.2">
      <c r="C99" s="74"/>
      <c r="D99" s="74"/>
      <c r="E99" s="74"/>
      <c r="F99" s="74"/>
      <c r="G99" s="74"/>
      <c r="H99" s="74"/>
      <c r="I99" s="74"/>
      <c r="J99" s="74"/>
      <c r="O99" s="4"/>
      <c r="P99" s="4"/>
      <c r="Q99" s="4"/>
    </row>
    <row r="100" spans="3:17" x14ac:dyDescent="0.2">
      <c r="C100" s="74"/>
      <c r="D100" s="74"/>
      <c r="E100" s="74"/>
      <c r="F100" s="74"/>
      <c r="G100" s="74"/>
      <c r="H100" s="74"/>
      <c r="I100" s="74"/>
      <c r="J100" s="74"/>
      <c r="O100" s="4"/>
      <c r="P100" s="4"/>
      <c r="Q100" s="4"/>
    </row>
    <row r="101" spans="3:17" x14ac:dyDescent="0.2">
      <c r="C101" s="74"/>
      <c r="D101" s="74"/>
      <c r="E101" s="74"/>
      <c r="F101" s="74"/>
      <c r="G101" s="74"/>
      <c r="H101" s="74"/>
      <c r="I101" s="74"/>
      <c r="J101" s="74"/>
      <c r="O101" s="4"/>
      <c r="P101" s="4"/>
      <c r="Q101" s="4"/>
    </row>
    <row r="102" spans="3:17" x14ac:dyDescent="0.2">
      <c r="C102" s="74"/>
      <c r="D102" s="74"/>
      <c r="E102" s="74"/>
      <c r="F102" s="74"/>
      <c r="G102" s="74"/>
      <c r="H102" s="74"/>
      <c r="I102" s="74"/>
      <c r="J102" s="74"/>
      <c r="O102" s="4"/>
      <c r="P102" s="4"/>
      <c r="Q102" s="4"/>
    </row>
    <row r="103" spans="3:17" x14ac:dyDescent="0.2">
      <c r="C103" s="74"/>
      <c r="D103" s="74"/>
      <c r="E103" s="74"/>
      <c r="F103" s="74"/>
      <c r="G103" s="74"/>
      <c r="H103" s="74"/>
      <c r="I103" s="74"/>
      <c r="J103" s="74"/>
      <c r="O103" s="4"/>
      <c r="P103" s="4"/>
      <c r="Q103" s="4"/>
    </row>
    <row r="104" spans="3:17" x14ac:dyDescent="0.2">
      <c r="C104" s="74"/>
      <c r="D104" s="74"/>
      <c r="E104" s="74"/>
      <c r="F104" s="74"/>
      <c r="G104" s="74"/>
      <c r="H104" s="74"/>
      <c r="I104" s="74"/>
      <c r="J104" s="74"/>
      <c r="O104" s="4"/>
      <c r="P104" s="4"/>
      <c r="Q104" s="4"/>
    </row>
    <row r="105" spans="3:17" x14ac:dyDescent="0.2">
      <c r="C105" s="74"/>
      <c r="D105" s="74"/>
      <c r="E105" s="74"/>
      <c r="F105" s="74"/>
      <c r="G105" s="74"/>
      <c r="H105" s="74"/>
      <c r="I105" s="74"/>
      <c r="J105" s="74"/>
      <c r="O105" s="4"/>
      <c r="P105" s="4"/>
      <c r="Q105" s="4"/>
    </row>
    <row r="106" spans="3:17" x14ac:dyDescent="0.2">
      <c r="C106" s="74"/>
      <c r="D106" s="74"/>
      <c r="E106" s="74"/>
      <c r="F106" s="74"/>
      <c r="G106" s="74"/>
      <c r="H106" s="74"/>
      <c r="I106" s="74"/>
      <c r="J106" s="74"/>
      <c r="O106" s="4"/>
      <c r="P106" s="4"/>
      <c r="Q106" s="4"/>
    </row>
    <row r="107" spans="3:17" x14ac:dyDescent="0.2">
      <c r="C107" s="74"/>
      <c r="D107" s="74"/>
      <c r="E107" s="74"/>
      <c r="F107" s="74"/>
      <c r="G107" s="74"/>
      <c r="H107" s="74"/>
      <c r="I107" s="74"/>
      <c r="J107" s="74"/>
      <c r="O107" s="4"/>
      <c r="P107" s="4"/>
      <c r="Q107" s="4"/>
    </row>
    <row r="108" spans="3:17" x14ac:dyDescent="0.2">
      <c r="C108" s="74"/>
      <c r="D108" s="74"/>
      <c r="E108" s="74"/>
      <c r="F108" s="74"/>
      <c r="G108" s="74"/>
      <c r="H108" s="74"/>
      <c r="I108" s="74"/>
      <c r="J108" s="74"/>
      <c r="O108" s="4"/>
      <c r="P108" s="4"/>
      <c r="Q108" s="4"/>
    </row>
    <row r="109" spans="3:17" x14ac:dyDescent="0.2">
      <c r="C109" s="74"/>
      <c r="D109" s="74"/>
      <c r="E109" s="74"/>
      <c r="F109" s="74"/>
      <c r="G109" s="74"/>
      <c r="H109" s="74"/>
      <c r="I109" s="74"/>
      <c r="J109" s="74"/>
      <c r="O109" s="4"/>
      <c r="P109" s="4"/>
      <c r="Q109" s="4"/>
    </row>
    <row r="110" spans="3:17" x14ac:dyDescent="0.2">
      <c r="C110" s="74"/>
      <c r="D110" s="74"/>
      <c r="E110" s="74"/>
      <c r="F110" s="74"/>
      <c r="G110" s="74"/>
      <c r="H110" s="74"/>
      <c r="I110" s="74"/>
      <c r="J110" s="74"/>
      <c r="O110" s="4"/>
      <c r="P110" s="4"/>
      <c r="Q110" s="4"/>
    </row>
    <row r="111" spans="3:17" x14ac:dyDescent="0.2">
      <c r="C111" s="74"/>
      <c r="D111" s="74"/>
      <c r="E111" s="74"/>
      <c r="F111" s="74"/>
      <c r="G111" s="74"/>
      <c r="H111" s="74"/>
      <c r="I111" s="74"/>
      <c r="J111" s="74"/>
      <c r="O111" s="4"/>
      <c r="P111" s="4"/>
      <c r="Q111" s="4"/>
    </row>
    <row r="112" spans="3:17" x14ac:dyDescent="0.2">
      <c r="C112" s="74"/>
      <c r="D112" s="74"/>
      <c r="E112" s="74"/>
      <c r="F112" s="74"/>
      <c r="G112" s="74"/>
      <c r="H112" s="74"/>
      <c r="I112" s="74"/>
      <c r="J112" s="74"/>
      <c r="O112" s="4"/>
      <c r="P112" s="4"/>
      <c r="Q112" s="4"/>
    </row>
    <row r="113" spans="3:17" x14ac:dyDescent="0.2">
      <c r="C113" s="74"/>
      <c r="D113" s="74"/>
      <c r="E113" s="74"/>
      <c r="F113" s="74"/>
      <c r="G113" s="74"/>
      <c r="H113" s="74"/>
      <c r="I113" s="74"/>
      <c r="J113" s="74"/>
      <c r="O113" s="4"/>
      <c r="P113" s="4"/>
      <c r="Q113" s="4"/>
    </row>
    <row r="114" spans="3:17" x14ac:dyDescent="0.2">
      <c r="C114" s="74"/>
      <c r="D114" s="74"/>
      <c r="E114" s="74"/>
      <c r="F114" s="74"/>
      <c r="G114" s="74"/>
      <c r="H114" s="74"/>
      <c r="I114" s="74"/>
      <c r="J114" s="74"/>
      <c r="O114" s="4"/>
      <c r="P114" s="4"/>
      <c r="Q114" s="4"/>
    </row>
    <row r="115" spans="3:17" x14ac:dyDescent="0.2">
      <c r="C115" s="74"/>
      <c r="D115" s="74"/>
      <c r="E115" s="74"/>
      <c r="F115" s="74"/>
      <c r="G115" s="74"/>
      <c r="H115" s="74"/>
      <c r="I115" s="74"/>
      <c r="J115" s="74"/>
      <c r="O115" s="4"/>
      <c r="P115" s="4"/>
      <c r="Q115" s="4"/>
    </row>
    <row r="116" spans="3:17" x14ac:dyDescent="0.2">
      <c r="C116" s="74"/>
      <c r="D116" s="74"/>
      <c r="E116" s="74"/>
      <c r="F116" s="74"/>
      <c r="G116" s="74"/>
      <c r="H116" s="74"/>
      <c r="I116" s="74"/>
      <c r="J116" s="74"/>
      <c r="O116" s="4"/>
      <c r="P116" s="4"/>
      <c r="Q116" s="4"/>
    </row>
    <row r="117" spans="3:17" x14ac:dyDescent="0.2">
      <c r="C117" s="74"/>
      <c r="D117" s="74"/>
      <c r="E117" s="74"/>
      <c r="F117" s="74"/>
      <c r="G117" s="74"/>
      <c r="H117" s="74"/>
      <c r="I117" s="74"/>
      <c r="J117" s="74"/>
      <c r="O117" s="4"/>
      <c r="P117" s="4"/>
      <c r="Q117" s="4"/>
    </row>
    <row r="118" spans="3:17" x14ac:dyDescent="0.2">
      <c r="C118" s="74"/>
      <c r="D118" s="74"/>
      <c r="E118" s="74"/>
      <c r="F118" s="74"/>
      <c r="G118" s="74"/>
      <c r="H118" s="74"/>
      <c r="I118" s="74"/>
      <c r="J118" s="74"/>
      <c r="O118" s="4"/>
      <c r="P118" s="4"/>
      <c r="Q118" s="4"/>
    </row>
    <row r="119" spans="3:17" x14ac:dyDescent="0.2">
      <c r="C119" s="74"/>
      <c r="D119" s="74"/>
      <c r="E119" s="74"/>
      <c r="F119" s="74"/>
      <c r="G119" s="74"/>
      <c r="H119" s="74"/>
      <c r="I119" s="74"/>
      <c r="J119" s="74"/>
      <c r="O119" s="4"/>
      <c r="P119" s="4"/>
      <c r="Q119" s="4"/>
    </row>
    <row r="120" spans="3:17" x14ac:dyDescent="0.2">
      <c r="C120" s="74"/>
      <c r="D120" s="74"/>
      <c r="E120" s="74"/>
      <c r="F120" s="74"/>
      <c r="G120" s="74"/>
      <c r="H120" s="74"/>
      <c r="I120" s="74"/>
      <c r="J120" s="74"/>
      <c r="O120" s="4"/>
      <c r="P120" s="4"/>
      <c r="Q120" s="4"/>
    </row>
    <row r="121" spans="3:17" x14ac:dyDescent="0.2">
      <c r="C121" s="74"/>
      <c r="D121" s="74"/>
      <c r="E121" s="74"/>
      <c r="F121" s="74"/>
      <c r="G121" s="74"/>
      <c r="H121" s="74"/>
      <c r="I121" s="74"/>
      <c r="J121" s="74"/>
      <c r="O121" s="4"/>
      <c r="P121" s="4"/>
      <c r="Q121" s="4"/>
    </row>
    <row r="122" spans="3:17" x14ac:dyDescent="0.2">
      <c r="C122" s="74"/>
      <c r="D122" s="74"/>
      <c r="E122" s="74"/>
      <c r="F122" s="74"/>
      <c r="G122" s="74"/>
      <c r="H122" s="74"/>
      <c r="I122" s="74"/>
      <c r="J122" s="74"/>
      <c r="O122" s="4"/>
      <c r="P122" s="4"/>
      <c r="Q122" s="4"/>
    </row>
    <row r="123" spans="3:17" x14ac:dyDescent="0.2">
      <c r="C123" s="74"/>
      <c r="D123" s="74"/>
      <c r="E123" s="74"/>
      <c r="F123" s="74"/>
      <c r="G123" s="74"/>
      <c r="H123" s="74"/>
      <c r="I123" s="74"/>
      <c r="J123" s="74"/>
      <c r="O123" s="4"/>
      <c r="P123" s="4"/>
      <c r="Q123" s="4"/>
    </row>
    <row r="124" spans="3:17" x14ac:dyDescent="0.2">
      <c r="C124" s="74"/>
      <c r="D124" s="74"/>
      <c r="E124" s="74"/>
      <c r="F124" s="74"/>
      <c r="G124" s="74"/>
      <c r="H124" s="74"/>
      <c r="I124" s="74"/>
      <c r="J124" s="74"/>
      <c r="O124" s="4"/>
      <c r="P124" s="4"/>
      <c r="Q124" s="4"/>
    </row>
    <row r="125" spans="3:17" x14ac:dyDescent="0.2">
      <c r="C125" s="74"/>
      <c r="D125" s="74"/>
      <c r="E125" s="74"/>
      <c r="F125" s="74"/>
      <c r="G125" s="74"/>
      <c r="H125" s="74"/>
      <c r="I125" s="74"/>
      <c r="J125" s="74"/>
      <c r="O125" s="4"/>
      <c r="P125" s="4"/>
      <c r="Q125" s="4"/>
    </row>
    <row r="126" spans="3:17" x14ac:dyDescent="0.2">
      <c r="C126" s="74"/>
      <c r="D126" s="74"/>
      <c r="E126" s="74"/>
      <c r="F126" s="74"/>
      <c r="G126" s="74"/>
      <c r="H126" s="74"/>
      <c r="I126" s="74"/>
      <c r="J126" s="74"/>
      <c r="O126" s="4"/>
      <c r="P126" s="4"/>
      <c r="Q126" s="4"/>
    </row>
    <row r="127" spans="3:17" x14ac:dyDescent="0.2">
      <c r="C127" s="74"/>
      <c r="D127" s="74"/>
      <c r="E127" s="74"/>
      <c r="F127" s="74"/>
      <c r="G127" s="74"/>
      <c r="H127" s="74"/>
      <c r="I127" s="74"/>
      <c r="J127" s="74"/>
      <c r="O127" s="4"/>
      <c r="P127" s="4"/>
      <c r="Q127" s="4"/>
    </row>
    <row r="128" spans="3:17" x14ac:dyDescent="0.2">
      <c r="C128" s="74"/>
      <c r="D128" s="74"/>
      <c r="E128" s="74"/>
      <c r="F128" s="74"/>
      <c r="G128" s="74"/>
      <c r="H128" s="74"/>
      <c r="I128" s="74"/>
      <c r="J128" s="74"/>
      <c r="O128" s="4"/>
      <c r="P128" s="4"/>
      <c r="Q128" s="4"/>
    </row>
    <row r="129" spans="3:17" x14ac:dyDescent="0.2">
      <c r="C129" s="74"/>
      <c r="D129" s="74"/>
      <c r="E129" s="74"/>
      <c r="F129" s="74"/>
      <c r="G129" s="74"/>
      <c r="H129" s="74"/>
      <c r="I129" s="74"/>
      <c r="J129" s="74"/>
      <c r="O129" s="4"/>
      <c r="P129" s="4"/>
      <c r="Q129" s="4"/>
    </row>
    <row r="130" spans="3:17" x14ac:dyDescent="0.2">
      <c r="C130" s="74"/>
      <c r="D130" s="74"/>
      <c r="E130" s="74"/>
      <c r="F130" s="74"/>
      <c r="G130" s="74"/>
      <c r="H130" s="74"/>
      <c r="I130" s="74"/>
      <c r="J130" s="74"/>
      <c r="O130" s="4"/>
      <c r="P130" s="4"/>
      <c r="Q130" s="4"/>
    </row>
    <row r="131" spans="3:17" x14ac:dyDescent="0.2">
      <c r="C131" s="74"/>
      <c r="D131" s="74"/>
      <c r="E131" s="74"/>
      <c r="F131" s="74"/>
      <c r="G131" s="74"/>
      <c r="H131" s="74"/>
      <c r="I131" s="74"/>
      <c r="J131" s="74"/>
      <c r="O131" s="4"/>
      <c r="P131" s="4"/>
      <c r="Q131" s="4"/>
    </row>
    <row r="132" spans="3:17" x14ac:dyDescent="0.2">
      <c r="C132" s="74"/>
      <c r="D132" s="74"/>
      <c r="E132" s="74"/>
      <c r="F132" s="74"/>
      <c r="G132" s="74"/>
      <c r="H132" s="74"/>
      <c r="I132" s="74"/>
      <c r="J132" s="74"/>
      <c r="O132" s="4"/>
      <c r="P132" s="4"/>
      <c r="Q132" s="4"/>
    </row>
    <row r="133" spans="3:17" x14ac:dyDescent="0.2">
      <c r="C133" s="74"/>
      <c r="D133" s="74"/>
      <c r="E133" s="74"/>
      <c r="F133" s="74"/>
      <c r="G133" s="74"/>
      <c r="H133" s="74"/>
      <c r="I133" s="74"/>
      <c r="J133" s="74"/>
      <c r="O133" s="4"/>
      <c r="P133" s="4"/>
      <c r="Q133" s="4"/>
    </row>
    <row r="134" spans="3:17" x14ac:dyDescent="0.2">
      <c r="C134" s="74"/>
      <c r="D134" s="74"/>
      <c r="E134" s="74"/>
      <c r="F134" s="74"/>
      <c r="G134" s="74"/>
      <c r="H134" s="74"/>
      <c r="I134" s="74"/>
      <c r="J134" s="74"/>
      <c r="O134" s="4"/>
      <c r="P134" s="4"/>
      <c r="Q134" s="4"/>
    </row>
    <row r="135" spans="3:17" x14ac:dyDescent="0.2">
      <c r="C135" s="74"/>
      <c r="D135" s="74"/>
      <c r="E135" s="74"/>
      <c r="F135" s="74"/>
      <c r="G135" s="74"/>
      <c r="H135" s="74"/>
      <c r="I135" s="74"/>
      <c r="J135" s="74"/>
      <c r="O135" s="4"/>
      <c r="P135" s="4"/>
      <c r="Q135" s="4"/>
    </row>
    <row r="136" spans="3:17" x14ac:dyDescent="0.2">
      <c r="C136" s="74"/>
      <c r="D136" s="74"/>
      <c r="E136" s="74"/>
      <c r="F136" s="74"/>
      <c r="G136" s="74"/>
      <c r="H136" s="74"/>
      <c r="I136" s="74"/>
      <c r="J136" s="74"/>
      <c r="O136" s="4"/>
      <c r="P136" s="4"/>
      <c r="Q136" s="4"/>
    </row>
    <row r="137" spans="3:17" x14ac:dyDescent="0.2">
      <c r="C137" s="74"/>
      <c r="D137" s="74"/>
      <c r="E137" s="74"/>
      <c r="F137" s="74"/>
      <c r="G137" s="74"/>
      <c r="H137" s="74"/>
      <c r="I137" s="74"/>
      <c r="J137" s="74"/>
      <c r="O137" s="4"/>
      <c r="P137" s="4"/>
      <c r="Q137" s="4"/>
    </row>
    <row r="138" spans="3:17" x14ac:dyDescent="0.2">
      <c r="C138" s="74"/>
      <c r="D138" s="74"/>
      <c r="E138" s="74"/>
      <c r="F138" s="74"/>
      <c r="G138" s="74"/>
      <c r="H138" s="74"/>
      <c r="I138" s="74"/>
      <c r="J138" s="74"/>
      <c r="O138" s="4"/>
      <c r="P138" s="4"/>
      <c r="Q138" s="4"/>
    </row>
    <row r="139" spans="3:17" x14ac:dyDescent="0.2">
      <c r="C139" s="74"/>
      <c r="D139" s="74"/>
      <c r="E139" s="74"/>
      <c r="F139" s="74"/>
      <c r="G139" s="74"/>
      <c r="H139" s="74"/>
      <c r="I139" s="74"/>
      <c r="J139" s="74"/>
      <c r="O139" s="4"/>
      <c r="P139" s="4"/>
      <c r="Q139" s="4"/>
    </row>
    <row r="140" spans="3:17" x14ac:dyDescent="0.2">
      <c r="C140" s="74"/>
      <c r="D140" s="74"/>
      <c r="E140" s="74"/>
      <c r="F140" s="74"/>
      <c r="G140" s="74"/>
      <c r="H140" s="74"/>
      <c r="I140" s="74"/>
      <c r="J140" s="74"/>
      <c r="O140" s="4"/>
      <c r="P140" s="4"/>
      <c r="Q140" s="4"/>
    </row>
    <row r="141" spans="3:17" x14ac:dyDescent="0.2">
      <c r="C141" s="74"/>
      <c r="D141" s="74"/>
      <c r="E141" s="74"/>
      <c r="F141" s="74"/>
      <c r="G141" s="74"/>
      <c r="H141" s="74"/>
      <c r="I141" s="74"/>
      <c r="J141" s="74"/>
      <c r="O141" s="4"/>
      <c r="P141" s="4"/>
      <c r="Q141" s="4"/>
    </row>
    <row r="142" spans="3:17" x14ac:dyDescent="0.2">
      <c r="C142" s="74"/>
      <c r="D142" s="74"/>
      <c r="E142" s="74"/>
      <c r="F142" s="74"/>
      <c r="G142" s="74"/>
      <c r="H142" s="74"/>
      <c r="I142" s="74"/>
      <c r="J142" s="74"/>
      <c r="O142" s="4"/>
      <c r="P142" s="4"/>
      <c r="Q142" s="4"/>
    </row>
    <row r="143" spans="3:17" x14ac:dyDescent="0.2">
      <c r="C143" s="74"/>
      <c r="D143" s="74"/>
      <c r="E143" s="74"/>
      <c r="F143" s="74"/>
      <c r="G143" s="74"/>
      <c r="H143" s="74"/>
      <c r="I143" s="74"/>
      <c r="J143" s="74"/>
      <c r="O143" s="4"/>
      <c r="P143" s="4"/>
      <c r="Q143" s="4"/>
    </row>
    <row r="144" spans="3:17" x14ac:dyDescent="0.2">
      <c r="C144" s="74"/>
      <c r="D144" s="74"/>
      <c r="E144" s="74"/>
      <c r="F144" s="74"/>
      <c r="G144" s="74"/>
      <c r="H144" s="74"/>
      <c r="I144" s="74"/>
      <c r="J144" s="74"/>
      <c r="O144" s="4"/>
      <c r="P144" s="4"/>
      <c r="Q144" s="4"/>
    </row>
    <row r="145" spans="3:17" x14ac:dyDescent="0.2">
      <c r="C145" s="74"/>
      <c r="D145" s="74"/>
      <c r="E145" s="74"/>
      <c r="F145" s="74"/>
      <c r="G145" s="74"/>
      <c r="H145" s="74"/>
      <c r="I145" s="74"/>
      <c r="J145" s="74"/>
      <c r="O145" s="4"/>
      <c r="P145" s="4"/>
      <c r="Q145" s="4"/>
    </row>
    <row r="146" spans="3:17" x14ac:dyDescent="0.2">
      <c r="C146" s="74"/>
      <c r="D146" s="74"/>
      <c r="E146" s="74"/>
      <c r="F146" s="74"/>
      <c r="G146" s="74"/>
      <c r="H146" s="74"/>
      <c r="I146" s="74"/>
      <c r="J146" s="74"/>
      <c r="O146" s="4"/>
      <c r="P146" s="4"/>
      <c r="Q146" s="4"/>
    </row>
    <row r="147" spans="3:17" x14ac:dyDescent="0.2">
      <c r="C147" s="74"/>
      <c r="D147" s="74"/>
      <c r="E147" s="74"/>
      <c r="F147" s="74"/>
      <c r="G147" s="74"/>
      <c r="H147" s="74"/>
      <c r="I147" s="74"/>
      <c r="J147" s="74"/>
      <c r="O147" s="4"/>
      <c r="P147" s="4"/>
      <c r="Q147" s="4"/>
    </row>
    <row r="148" spans="3:17" x14ac:dyDescent="0.2">
      <c r="C148" s="74"/>
      <c r="D148" s="74"/>
      <c r="E148" s="74"/>
      <c r="F148" s="74"/>
      <c r="G148" s="74"/>
      <c r="H148" s="74"/>
      <c r="I148" s="74"/>
      <c r="J148" s="74"/>
      <c r="O148" s="4"/>
      <c r="P148" s="4"/>
      <c r="Q148" s="4"/>
    </row>
    <row r="149" spans="3:17" x14ac:dyDescent="0.2">
      <c r="C149" s="74"/>
      <c r="D149" s="74"/>
      <c r="E149" s="74"/>
      <c r="F149" s="74"/>
      <c r="G149" s="74"/>
      <c r="H149" s="74"/>
      <c r="I149" s="74"/>
      <c r="J149" s="74"/>
      <c r="O149" s="4"/>
      <c r="P149" s="4"/>
      <c r="Q149" s="4"/>
    </row>
    <row r="150" spans="3:17" x14ac:dyDescent="0.2">
      <c r="C150" s="74"/>
      <c r="D150" s="74"/>
      <c r="E150" s="74"/>
      <c r="F150" s="74"/>
      <c r="G150" s="74"/>
      <c r="H150" s="74"/>
      <c r="I150" s="74"/>
      <c r="J150" s="74"/>
      <c r="O150" s="4"/>
      <c r="P150" s="4"/>
      <c r="Q150" s="4"/>
    </row>
    <row r="151" spans="3:17" x14ac:dyDescent="0.2">
      <c r="C151" s="74"/>
      <c r="D151" s="74"/>
      <c r="E151" s="74"/>
      <c r="F151" s="74"/>
      <c r="G151" s="74"/>
      <c r="H151" s="74"/>
      <c r="I151" s="74"/>
      <c r="J151" s="74"/>
      <c r="O151" s="4"/>
      <c r="P151" s="4"/>
      <c r="Q151" s="4"/>
    </row>
    <row r="152" spans="3:17" x14ac:dyDescent="0.2">
      <c r="C152" s="74"/>
      <c r="D152" s="74"/>
      <c r="E152" s="74"/>
      <c r="F152" s="74"/>
      <c r="G152" s="74"/>
      <c r="H152" s="74"/>
      <c r="I152" s="74"/>
      <c r="J152" s="74"/>
      <c r="O152" s="4"/>
      <c r="P152" s="4"/>
      <c r="Q152" s="4"/>
    </row>
    <row r="153" spans="3:17" x14ac:dyDescent="0.2">
      <c r="C153" s="74"/>
      <c r="D153" s="74"/>
      <c r="E153" s="74"/>
      <c r="F153" s="74"/>
      <c r="G153" s="74"/>
      <c r="H153" s="74"/>
      <c r="I153" s="74"/>
      <c r="J153" s="74"/>
      <c r="O153" s="4"/>
      <c r="P153" s="4"/>
      <c r="Q153" s="4"/>
    </row>
    <row r="154" spans="3:17" x14ac:dyDescent="0.2">
      <c r="C154" s="74"/>
      <c r="D154" s="74"/>
      <c r="E154" s="74"/>
      <c r="F154" s="74"/>
      <c r="G154" s="74"/>
      <c r="H154" s="74"/>
      <c r="I154" s="74"/>
      <c r="J154" s="74"/>
      <c r="O154" s="4"/>
      <c r="P154" s="4"/>
      <c r="Q154" s="4"/>
    </row>
    <row r="155" spans="3:17" x14ac:dyDescent="0.2">
      <c r="C155" s="74"/>
      <c r="D155" s="74"/>
      <c r="E155" s="74"/>
      <c r="F155" s="74"/>
      <c r="G155" s="74"/>
      <c r="H155" s="74"/>
      <c r="I155" s="74"/>
      <c r="J155" s="74"/>
      <c r="O155" s="4"/>
      <c r="P155" s="4"/>
      <c r="Q155" s="4"/>
    </row>
    <row r="156" spans="3:17" x14ac:dyDescent="0.2">
      <c r="C156" s="74"/>
      <c r="D156" s="74"/>
      <c r="E156" s="74"/>
      <c r="F156" s="74"/>
      <c r="G156" s="74"/>
      <c r="H156" s="74"/>
      <c r="I156" s="74"/>
      <c r="J156" s="74"/>
      <c r="O156" s="4"/>
      <c r="P156" s="4"/>
      <c r="Q156" s="4"/>
    </row>
    <row r="157" spans="3:17" x14ac:dyDescent="0.2">
      <c r="C157" s="74"/>
      <c r="D157" s="74"/>
      <c r="E157" s="74"/>
      <c r="F157" s="74"/>
      <c r="G157" s="74"/>
      <c r="H157" s="74"/>
      <c r="I157" s="74"/>
      <c r="J157" s="74"/>
      <c r="O157" s="4"/>
      <c r="P157" s="4"/>
      <c r="Q157" s="4"/>
    </row>
    <row r="158" spans="3:17" x14ac:dyDescent="0.2">
      <c r="C158" s="74"/>
      <c r="D158" s="74"/>
      <c r="E158" s="74"/>
      <c r="F158" s="74"/>
      <c r="G158" s="74"/>
      <c r="H158" s="74"/>
      <c r="I158" s="74"/>
      <c r="J158" s="74"/>
      <c r="O158" s="4"/>
      <c r="P158" s="4"/>
      <c r="Q158" s="4"/>
    </row>
    <row r="159" spans="3:17" x14ac:dyDescent="0.2">
      <c r="C159" s="74"/>
      <c r="D159" s="74"/>
      <c r="E159" s="74"/>
      <c r="F159" s="74"/>
      <c r="G159" s="74"/>
      <c r="H159" s="74"/>
      <c r="I159" s="74"/>
      <c r="J159" s="74"/>
      <c r="O159" s="4"/>
      <c r="P159" s="4"/>
      <c r="Q159" s="4"/>
    </row>
    <row r="160" spans="3:17" x14ac:dyDescent="0.2">
      <c r="C160" s="74"/>
      <c r="D160" s="74"/>
      <c r="E160" s="74"/>
      <c r="F160" s="74"/>
      <c r="G160" s="74"/>
      <c r="H160" s="74"/>
      <c r="I160" s="74"/>
      <c r="J160" s="74"/>
      <c r="O160" s="4"/>
      <c r="P160" s="4"/>
      <c r="Q160" s="4"/>
    </row>
    <row r="161" spans="3:17" x14ac:dyDescent="0.2">
      <c r="C161" s="74"/>
      <c r="D161" s="74"/>
      <c r="E161" s="74"/>
      <c r="F161" s="74"/>
      <c r="G161" s="74"/>
      <c r="H161" s="74"/>
      <c r="I161" s="74"/>
      <c r="J161" s="74"/>
      <c r="O161" s="4"/>
      <c r="P161" s="4"/>
      <c r="Q161" s="4"/>
    </row>
    <row r="162" spans="3:17" x14ac:dyDescent="0.2">
      <c r="O162" s="4"/>
      <c r="P162" s="4"/>
      <c r="Q162" s="4"/>
    </row>
    <row r="163" spans="3:17" x14ac:dyDescent="0.2">
      <c r="O163" s="4"/>
      <c r="P163" s="4"/>
      <c r="Q163" s="4"/>
    </row>
    <row r="164" spans="3:17" x14ac:dyDescent="0.2">
      <c r="O164" s="4"/>
      <c r="P164" s="4"/>
      <c r="Q164" s="4"/>
    </row>
    <row r="165" spans="3:17" x14ac:dyDescent="0.2">
      <c r="O165" s="4"/>
      <c r="P165" s="4"/>
      <c r="Q165" s="4"/>
    </row>
    <row r="166" spans="3:17" x14ac:dyDescent="0.2">
      <c r="O166" s="4"/>
      <c r="P166" s="4"/>
      <c r="Q166" s="4"/>
    </row>
    <row r="167" spans="3:17" x14ac:dyDescent="0.2">
      <c r="O167" s="4"/>
      <c r="P167" s="4"/>
      <c r="Q167" s="4"/>
    </row>
    <row r="168" spans="3:17" x14ac:dyDescent="0.2">
      <c r="O168" s="4"/>
      <c r="P168" s="4"/>
      <c r="Q168" s="4"/>
    </row>
    <row r="169" spans="3:17" x14ac:dyDescent="0.2">
      <c r="O169" s="4"/>
      <c r="P169" s="4"/>
      <c r="Q169" s="4"/>
    </row>
    <row r="170" spans="3:17" x14ac:dyDescent="0.2">
      <c r="O170" s="4"/>
      <c r="P170" s="4"/>
      <c r="Q170" s="4"/>
    </row>
    <row r="171" spans="3:17" x14ac:dyDescent="0.2">
      <c r="O171" s="4"/>
      <c r="P171" s="4"/>
      <c r="Q171" s="4"/>
    </row>
    <row r="172" spans="3:17" x14ac:dyDescent="0.2">
      <c r="O172" s="4"/>
      <c r="P172" s="4"/>
      <c r="Q172" s="4"/>
    </row>
    <row r="173" spans="3:17" x14ac:dyDescent="0.2">
      <c r="O173" s="4"/>
      <c r="P173" s="4"/>
      <c r="Q173" s="4"/>
    </row>
    <row r="174" spans="3:17" x14ac:dyDescent="0.2">
      <c r="O174" s="4"/>
      <c r="P174" s="4"/>
      <c r="Q174" s="4"/>
    </row>
    <row r="175" spans="3:17" x14ac:dyDescent="0.2">
      <c r="O175" s="4"/>
      <c r="P175" s="4"/>
      <c r="Q175" s="4"/>
    </row>
    <row r="176" spans="3:17" x14ac:dyDescent="0.2">
      <c r="O176" s="4"/>
      <c r="P176" s="4"/>
      <c r="Q176" s="4"/>
    </row>
    <row r="177" spans="15:17" x14ac:dyDescent="0.2">
      <c r="O177" s="4"/>
      <c r="P177" s="4"/>
      <c r="Q177" s="4"/>
    </row>
    <row r="178" spans="15:17" x14ac:dyDescent="0.2">
      <c r="O178" s="4"/>
      <c r="P178" s="4"/>
      <c r="Q178" s="4"/>
    </row>
    <row r="179" spans="15:17" x14ac:dyDescent="0.2">
      <c r="O179" s="4"/>
      <c r="P179" s="4"/>
      <c r="Q179" s="4"/>
    </row>
    <row r="180" spans="15:17" x14ac:dyDescent="0.2">
      <c r="O180" s="4"/>
      <c r="P180" s="4"/>
      <c r="Q180" s="4"/>
    </row>
    <row r="181" spans="15:17" x14ac:dyDescent="0.2">
      <c r="O181" s="4"/>
      <c r="P181" s="4"/>
      <c r="Q181" s="4"/>
    </row>
    <row r="182" spans="15:17" x14ac:dyDescent="0.2">
      <c r="O182" s="4"/>
      <c r="P182" s="4"/>
      <c r="Q182" s="4"/>
    </row>
    <row r="183" spans="15:17" x14ac:dyDescent="0.2">
      <c r="O183" s="4"/>
      <c r="P183" s="4"/>
      <c r="Q183" s="4"/>
    </row>
    <row r="184" spans="15:17" x14ac:dyDescent="0.2">
      <c r="O184" s="4"/>
      <c r="P184" s="4"/>
      <c r="Q184" s="4"/>
    </row>
    <row r="185" spans="15:17" x14ac:dyDescent="0.2">
      <c r="O185" s="4"/>
      <c r="P185" s="4"/>
      <c r="Q185" s="4"/>
    </row>
    <row r="186" spans="15:17" x14ac:dyDescent="0.2">
      <c r="O186" s="4"/>
      <c r="P186" s="4"/>
      <c r="Q186" s="4"/>
    </row>
    <row r="187" spans="15:17" x14ac:dyDescent="0.2">
      <c r="O187" s="4"/>
      <c r="P187" s="4"/>
      <c r="Q187" s="4"/>
    </row>
    <row r="188" spans="15:17" x14ac:dyDescent="0.2">
      <c r="O188" s="4"/>
      <c r="P188" s="4"/>
      <c r="Q188" s="4"/>
    </row>
    <row r="189" spans="15:17" x14ac:dyDescent="0.2">
      <c r="O189" s="4"/>
      <c r="P189" s="4"/>
      <c r="Q189" s="4"/>
    </row>
    <row r="190" spans="15:17" x14ac:dyDescent="0.2">
      <c r="O190" s="4"/>
      <c r="P190" s="4"/>
      <c r="Q190" s="4"/>
    </row>
    <row r="191" spans="15:17" x14ac:dyDescent="0.2">
      <c r="O191" s="4"/>
      <c r="P191" s="4"/>
      <c r="Q191" s="4"/>
    </row>
    <row r="192" spans="15:17" x14ac:dyDescent="0.2">
      <c r="O192" s="4"/>
      <c r="P192" s="4"/>
      <c r="Q192" s="4"/>
    </row>
    <row r="193" spans="15:17" x14ac:dyDescent="0.2">
      <c r="O193" s="4"/>
      <c r="P193" s="4"/>
      <c r="Q193" s="4"/>
    </row>
    <row r="194" spans="15:17" x14ac:dyDescent="0.2">
      <c r="O194" s="4"/>
      <c r="P194" s="4"/>
      <c r="Q194" s="4"/>
    </row>
    <row r="195" spans="15:17" x14ac:dyDescent="0.2">
      <c r="O195" s="4"/>
      <c r="P195" s="4"/>
      <c r="Q195" s="4"/>
    </row>
    <row r="196" spans="15:17" x14ac:dyDescent="0.2">
      <c r="O196" s="4"/>
      <c r="P196" s="4"/>
      <c r="Q196" s="4"/>
    </row>
    <row r="197" spans="15:17" x14ac:dyDescent="0.2">
      <c r="O197" s="4"/>
      <c r="P197" s="4"/>
      <c r="Q197" s="4"/>
    </row>
    <row r="198" spans="15:17" x14ac:dyDescent="0.2">
      <c r="O198" s="4"/>
      <c r="P198" s="4"/>
      <c r="Q198" s="4"/>
    </row>
    <row r="199" spans="15:17" x14ac:dyDescent="0.2">
      <c r="O199" s="4"/>
      <c r="P199" s="4"/>
      <c r="Q199" s="4"/>
    </row>
    <row r="200" spans="15:17" x14ac:dyDescent="0.2">
      <c r="O200" s="4"/>
      <c r="P200" s="4"/>
      <c r="Q200" s="4"/>
    </row>
    <row r="201" spans="15:17" x14ac:dyDescent="0.2">
      <c r="O201" s="4"/>
      <c r="P201" s="4"/>
      <c r="Q201" s="4"/>
    </row>
    <row r="202" spans="15:17" x14ac:dyDescent="0.2">
      <c r="O202" s="4"/>
      <c r="P202" s="4"/>
      <c r="Q202" s="4"/>
    </row>
    <row r="203" spans="15:17" x14ac:dyDescent="0.2">
      <c r="O203" s="4"/>
      <c r="P203" s="4"/>
      <c r="Q203" s="4"/>
    </row>
    <row r="204" spans="15:17" x14ac:dyDescent="0.2">
      <c r="O204" s="4"/>
      <c r="P204" s="4"/>
      <c r="Q204" s="4"/>
    </row>
    <row r="205" spans="15:17" x14ac:dyDescent="0.2">
      <c r="O205" s="4"/>
      <c r="P205" s="4"/>
      <c r="Q205" s="4"/>
    </row>
    <row r="206" spans="15:17" x14ac:dyDescent="0.2">
      <c r="O206" s="4"/>
      <c r="P206" s="4"/>
      <c r="Q206" s="4"/>
    </row>
    <row r="207" spans="15:17" x14ac:dyDescent="0.2">
      <c r="O207" s="4"/>
      <c r="P207" s="4"/>
      <c r="Q207" s="4"/>
    </row>
    <row r="208" spans="15:17" x14ac:dyDescent="0.2">
      <c r="O208" s="4"/>
      <c r="P208" s="4"/>
      <c r="Q208" s="4"/>
    </row>
    <row r="209" spans="15:17" x14ac:dyDescent="0.2">
      <c r="O209" s="4"/>
      <c r="P209" s="4"/>
      <c r="Q209" s="4"/>
    </row>
    <row r="210" spans="15:17" x14ac:dyDescent="0.2">
      <c r="O210" s="4"/>
      <c r="P210" s="4"/>
      <c r="Q210" s="4"/>
    </row>
    <row r="211" spans="15:17" x14ac:dyDescent="0.2">
      <c r="O211" s="4"/>
      <c r="P211" s="4"/>
      <c r="Q211" s="4"/>
    </row>
    <row r="212" spans="15:17" x14ac:dyDescent="0.2">
      <c r="O212" s="4"/>
      <c r="P212" s="4"/>
      <c r="Q212" s="4"/>
    </row>
    <row r="213" spans="15:17" x14ac:dyDescent="0.2">
      <c r="O213" s="4"/>
      <c r="P213" s="4"/>
      <c r="Q213" s="4"/>
    </row>
    <row r="214" spans="15:17" x14ac:dyDescent="0.2">
      <c r="O214" s="4"/>
      <c r="P214" s="4"/>
      <c r="Q214" s="4"/>
    </row>
    <row r="215" spans="15:17" x14ac:dyDescent="0.2">
      <c r="O215" s="4"/>
      <c r="P215" s="4"/>
      <c r="Q215" s="4"/>
    </row>
    <row r="216" spans="15:17" x14ac:dyDescent="0.2">
      <c r="O216" s="4"/>
      <c r="P216" s="4"/>
      <c r="Q216" s="4"/>
    </row>
    <row r="217" spans="15:17" x14ac:dyDescent="0.2">
      <c r="O217" s="4"/>
      <c r="P217" s="4"/>
      <c r="Q217" s="4"/>
    </row>
    <row r="218" spans="15:17" x14ac:dyDescent="0.2">
      <c r="O218" s="4"/>
      <c r="P218" s="4"/>
      <c r="Q218" s="4"/>
    </row>
    <row r="219" spans="15:17" x14ac:dyDescent="0.2">
      <c r="O219" s="4"/>
      <c r="P219" s="4"/>
      <c r="Q219" s="4"/>
    </row>
    <row r="220" spans="15:17" x14ac:dyDescent="0.2">
      <c r="O220" s="4"/>
      <c r="P220" s="4"/>
      <c r="Q220" s="4"/>
    </row>
    <row r="221" spans="15:17" x14ac:dyDescent="0.2">
      <c r="O221" s="4"/>
      <c r="P221" s="4"/>
      <c r="Q221" s="4"/>
    </row>
    <row r="222" spans="15:17" x14ac:dyDescent="0.2">
      <c r="O222" s="4"/>
      <c r="P222" s="4"/>
      <c r="Q222" s="4"/>
    </row>
    <row r="223" spans="15:17" x14ac:dyDescent="0.2">
      <c r="O223" s="4"/>
      <c r="P223" s="4"/>
      <c r="Q223" s="4"/>
    </row>
    <row r="224" spans="15:17" x14ac:dyDescent="0.2">
      <c r="O224" s="4"/>
      <c r="P224" s="4"/>
      <c r="Q224" s="4"/>
    </row>
    <row r="225" spans="15:17" x14ac:dyDescent="0.2">
      <c r="O225" s="4"/>
      <c r="P225" s="4"/>
      <c r="Q225" s="4"/>
    </row>
    <row r="226" spans="15:17" x14ac:dyDescent="0.2">
      <c r="O226" s="4"/>
      <c r="P226" s="4"/>
      <c r="Q226" s="4"/>
    </row>
    <row r="227" spans="15:17" x14ac:dyDescent="0.2">
      <c r="O227" s="4"/>
      <c r="P227" s="4"/>
      <c r="Q227" s="4"/>
    </row>
    <row r="228" spans="15:17" x14ac:dyDescent="0.2">
      <c r="O228" s="4"/>
      <c r="P228" s="4"/>
      <c r="Q228" s="4"/>
    </row>
    <row r="229" spans="15:17" x14ac:dyDescent="0.2">
      <c r="O229" s="4"/>
      <c r="P229" s="4"/>
      <c r="Q229" s="4"/>
    </row>
    <row r="230" spans="15:17" x14ac:dyDescent="0.2">
      <c r="O230" s="4"/>
      <c r="P230" s="4"/>
      <c r="Q230" s="4"/>
    </row>
    <row r="231" spans="15:17" x14ac:dyDescent="0.2">
      <c r="O231" s="4"/>
      <c r="P231" s="4"/>
      <c r="Q231" s="4"/>
    </row>
    <row r="232" spans="15:17" x14ac:dyDescent="0.2">
      <c r="O232" s="4"/>
      <c r="P232" s="4"/>
      <c r="Q232" s="4"/>
    </row>
    <row r="233" spans="15:17" x14ac:dyDescent="0.2">
      <c r="O233" s="4"/>
      <c r="P233" s="4"/>
      <c r="Q233" s="4"/>
    </row>
    <row r="234" spans="15:17" x14ac:dyDescent="0.2">
      <c r="O234" s="4"/>
      <c r="P234" s="4"/>
      <c r="Q234" s="4"/>
    </row>
    <row r="235" spans="15:17" x14ac:dyDescent="0.2">
      <c r="O235" s="4"/>
      <c r="P235" s="4"/>
      <c r="Q235" s="4"/>
    </row>
    <row r="236" spans="15:17" x14ac:dyDescent="0.2">
      <c r="O236" s="4"/>
      <c r="P236" s="4"/>
      <c r="Q236" s="4"/>
    </row>
    <row r="237" spans="15:17" x14ac:dyDescent="0.2">
      <c r="O237" s="4"/>
      <c r="P237" s="4"/>
      <c r="Q237" s="4"/>
    </row>
    <row r="238" spans="15:17" x14ac:dyDescent="0.2">
      <c r="O238" s="4"/>
      <c r="P238" s="4"/>
      <c r="Q238" s="4"/>
    </row>
    <row r="239" spans="15:17" x14ac:dyDescent="0.2">
      <c r="O239" s="4"/>
      <c r="P239" s="4"/>
      <c r="Q239" s="4"/>
    </row>
    <row r="240" spans="15:17" x14ac:dyDescent="0.2">
      <c r="O240" s="4"/>
      <c r="P240" s="4"/>
      <c r="Q240" s="4"/>
    </row>
    <row r="241" spans="15:17" x14ac:dyDescent="0.2">
      <c r="O241" s="4"/>
      <c r="P241" s="4"/>
      <c r="Q241" s="4"/>
    </row>
    <row r="242" spans="15:17" x14ac:dyDescent="0.2">
      <c r="O242" s="4"/>
      <c r="P242" s="4"/>
      <c r="Q242" s="4"/>
    </row>
    <row r="243" spans="15:17" x14ac:dyDescent="0.2">
      <c r="O243" s="4"/>
      <c r="P243" s="4"/>
      <c r="Q243" s="4"/>
    </row>
    <row r="244" spans="15:17" x14ac:dyDescent="0.2">
      <c r="O244" s="4"/>
      <c r="P244" s="4"/>
      <c r="Q244" s="4"/>
    </row>
    <row r="245" spans="15:17" x14ac:dyDescent="0.2">
      <c r="O245" s="4"/>
      <c r="P245" s="4"/>
      <c r="Q245" s="4"/>
    </row>
    <row r="246" spans="15:17" x14ac:dyDescent="0.2">
      <c r="O246" s="4"/>
      <c r="P246" s="4"/>
      <c r="Q246" s="4"/>
    </row>
    <row r="247" spans="15:17" x14ac:dyDescent="0.2">
      <c r="O247" s="4"/>
      <c r="P247" s="4"/>
      <c r="Q247" s="4"/>
    </row>
    <row r="248" spans="15:17" x14ac:dyDescent="0.2">
      <c r="O248" s="4"/>
      <c r="P248" s="4"/>
      <c r="Q248" s="4"/>
    </row>
    <row r="249" spans="15:17" x14ac:dyDescent="0.2">
      <c r="O249" s="4"/>
      <c r="P249" s="4"/>
      <c r="Q249" s="4"/>
    </row>
    <row r="250" spans="15:17" x14ac:dyDescent="0.2">
      <c r="O250" s="4"/>
      <c r="P250" s="4"/>
      <c r="Q250" s="4"/>
    </row>
    <row r="251" spans="15:17" x14ac:dyDescent="0.2">
      <c r="O251" s="4"/>
      <c r="P251" s="4"/>
      <c r="Q251" s="4"/>
    </row>
    <row r="252" spans="15:17" x14ac:dyDescent="0.2">
      <c r="O252" s="4"/>
      <c r="P252" s="4"/>
      <c r="Q252" s="4"/>
    </row>
    <row r="253" spans="15:17" x14ac:dyDescent="0.2">
      <c r="O253" s="4"/>
      <c r="P253" s="4"/>
      <c r="Q253" s="4"/>
    </row>
    <row r="254" spans="15:17" x14ac:dyDescent="0.2">
      <c r="O254" s="4"/>
      <c r="P254" s="4"/>
      <c r="Q254" s="4"/>
    </row>
    <row r="255" spans="15:17" x14ac:dyDescent="0.2">
      <c r="O255" s="4"/>
      <c r="P255" s="4"/>
      <c r="Q255" s="4"/>
    </row>
    <row r="256" spans="15:17" x14ac:dyDescent="0.2">
      <c r="O256" s="4"/>
      <c r="P256" s="4"/>
      <c r="Q256" s="4"/>
    </row>
    <row r="257" spans="15:17" x14ac:dyDescent="0.2">
      <c r="O257" s="4"/>
      <c r="P257" s="4"/>
      <c r="Q257" s="4"/>
    </row>
    <row r="258" spans="15:17" x14ac:dyDescent="0.2">
      <c r="O258" s="4"/>
      <c r="P258" s="4"/>
      <c r="Q258" s="4"/>
    </row>
    <row r="259" spans="15:17" x14ac:dyDescent="0.2">
      <c r="O259" s="4"/>
      <c r="P259" s="4"/>
      <c r="Q259" s="4"/>
    </row>
    <row r="260" spans="15:17" x14ac:dyDescent="0.2">
      <c r="O260" s="4"/>
      <c r="P260" s="4"/>
      <c r="Q260" s="4"/>
    </row>
    <row r="261" spans="15:17" x14ac:dyDescent="0.2">
      <c r="O261" s="4"/>
      <c r="P261" s="4"/>
      <c r="Q261" s="4"/>
    </row>
    <row r="262" spans="15:17" x14ac:dyDescent="0.2">
      <c r="O262" s="4"/>
      <c r="P262" s="4"/>
      <c r="Q262" s="4"/>
    </row>
    <row r="263" spans="15:17" x14ac:dyDescent="0.2">
      <c r="O263" s="4"/>
      <c r="P263" s="4"/>
      <c r="Q263" s="4"/>
    </row>
    <row r="264" spans="15:17" x14ac:dyDescent="0.2">
      <c r="O264" s="4"/>
      <c r="P264" s="4"/>
      <c r="Q264" s="4"/>
    </row>
    <row r="265" spans="15:17" x14ac:dyDescent="0.2">
      <c r="O265" s="4"/>
      <c r="P265" s="4"/>
      <c r="Q265" s="4"/>
    </row>
    <row r="266" spans="15:17" x14ac:dyDescent="0.2">
      <c r="O266" s="4"/>
      <c r="P266" s="4"/>
      <c r="Q266" s="4"/>
    </row>
    <row r="267" spans="15:17" x14ac:dyDescent="0.2">
      <c r="O267" s="4"/>
      <c r="P267" s="4"/>
      <c r="Q267" s="4"/>
    </row>
    <row r="268" spans="15:17" x14ac:dyDescent="0.2">
      <c r="O268" s="4"/>
      <c r="P268" s="4"/>
      <c r="Q268" s="4"/>
    </row>
    <row r="269" spans="15:17" x14ac:dyDescent="0.2">
      <c r="O269" s="4"/>
      <c r="P269" s="4"/>
      <c r="Q269" s="4"/>
    </row>
    <row r="270" spans="15:17" x14ac:dyDescent="0.2">
      <c r="O270" s="4"/>
      <c r="P270" s="4"/>
      <c r="Q270" s="4"/>
    </row>
    <row r="271" spans="15:17" x14ac:dyDescent="0.2">
      <c r="O271" s="4"/>
      <c r="P271" s="4"/>
      <c r="Q271" s="4"/>
    </row>
    <row r="272" spans="15:17" x14ac:dyDescent="0.2">
      <c r="O272" s="4"/>
      <c r="P272" s="4"/>
      <c r="Q272" s="4"/>
    </row>
    <row r="273" spans="15:17" x14ac:dyDescent="0.2">
      <c r="O273" s="4"/>
      <c r="P273" s="4"/>
      <c r="Q273" s="4"/>
    </row>
    <row r="274" spans="15:17" x14ac:dyDescent="0.2">
      <c r="O274" s="4"/>
      <c r="P274" s="4"/>
      <c r="Q274" s="4"/>
    </row>
    <row r="275" spans="15:17" x14ac:dyDescent="0.2">
      <c r="O275" s="4"/>
      <c r="P275" s="4"/>
      <c r="Q275" s="4"/>
    </row>
    <row r="276" spans="15:17" x14ac:dyDescent="0.2">
      <c r="O276" s="4"/>
      <c r="P276" s="4"/>
      <c r="Q276" s="4"/>
    </row>
    <row r="277" spans="15:17" x14ac:dyDescent="0.2">
      <c r="O277" s="4"/>
      <c r="P277" s="4"/>
      <c r="Q277" s="4"/>
    </row>
  </sheetData>
  <sheetProtection password="8677" sheet="1" objects="1" scenarios="1"/>
  <mergeCells count="8">
    <mergeCell ref="C44:E44"/>
    <mergeCell ref="I13:J13"/>
    <mergeCell ref="F30:I31"/>
    <mergeCell ref="E12:F12"/>
    <mergeCell ref="E13:F13"/>
    <mergeCell ref="I14:J14"/>
    <mergeCell ref="H11:J12"/>
    <mergeCell ref="F21:H21"/>
  </mergeCells>
  <pageMargins left="0.62992125984251968" right="0.23622047244094491" top="0.74803149606299213" bottom="0.74803149606299213" header="0.31496062992125984" footer="0.31496062992125984"/>
  <pageSetup paperSize="9" scale="97" fitToHeight="0" orientation="portrait" r:id="rId1"/>
  <headerFooter>
    <oddFooter>&amp;R&amp;P von &amp;N</oddFooter>
  </headerFooter>
  <rowBreaks count="1" manualBreakCount="1">
    <brk id="38" max="16383" man="1"/>
  </rowBreaks>
  <colBreaks count="1" manualBreakCount="1">
    <brk id="10"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2" id="{F12B9806-E7B4-4395-8DAE-90995E3A9854}">
            <xm:f>Kommentarliste!R89&gt;0</xm:f>
            <x14:dxf>
              <fill>
                <patternFill>
                  <bgColor theme="0"/>
                </patternFill>
              </fill>
            </x14:dxf>
          </x14:cfRule>
          <xm:sqref>K36</xm:sqref>
        </x14:conditionalFormatting>
        <x14:conditionalFormatting xmlns:xm="http://schemas.microsoft.com/office/excel/2006/main">
          <x14:cfRule type="expression" priority="1" id="{ECA8A7F6-CFAD-4339-9B58-D7BF651C7376}">
            <xm:f>Kommentarliste!R108&gt;0</xm:f>
            <x14:dxf>
              <fill>
                <patternFill>
                  <bgColor theme="0"/>
                </patternFill>
              </fill>
            </x14:dxf>
          </x14:cfRule>
          <xm:sqref>K50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8" tint="0.79998168889431442"/>
  </sheetPr>
  <dimension ref="A1:Q50"/>
  <sheetViews>
    <sheetView showGridLines="0" topLeftCell="B1" zoomScaleNormal="100" workbookViewId="0">
      <pane ySplit="15" topLeftCell="A16" activePane="bottomLeft" state="frozen"/>
      <selection activeCell="A10" sqref="A10"/>
      <selection pane="bottomLeft" activeCell="B1" sqref="B1"/>
    </sheetView>
  </sheetViews>
  <sheetFormatPr baseColWidth="10" defaultRowHeight="14.25" x14ac:dyDescent="0.2"/>
  <cols>
    <col min="1" max="1" width="2" hidden="1" customWidth="1"/>
    <col min="2" max="2" width="0.5" style="189" customWidth="1"/>
    <col min="3" max="3" width="2.75" customWidth="1"/>
    <col min="8" max="8" width="12.5" customWidth="1"/>
    <col min="12" max="12" width="39.5" hidden="1" customWidth="1"/>
    <col min="13" max="14" width="0" hidden="1" customWidth="1"/>
  </cols>
  <sheetData>
    <row r="1" spans="1:17" ht="2.85" customHeight="1" x14ac:dyDescent="0.2">
      <c r="A1" s="198"/>
    </row>
    <row r="2" spans="1:17" ht="30.6" customHeight="1" x14ac:dyDescent="0.25">
      <c r="A2" s="198"/>
      <c r="D2" s="396"/>
      <c r="E2" s="397"/>
      <c r="F2" s="397"/>
      <c r="G2" s="397"/>
      <c r="H2" s="397"/>
      <c r="I2" s="397"/>
      <c r="J2" s="397"/>
      <c r="K2" s="398"/>
      <c r="L2" s="896" t="s">
        <v>4402</v>
      </c>
    </row>
    <row r="3" spans="1:17" ht="18.399999999999999" x14ac:dyDescent="0.3">
      <c r="A3" s="198"/>
      <c r="D3" s="155" t="str">
        <f>Startmenue!C2</f>
        <v>Düngung BW</v>
      </c>
      <c r="E3" s="156"/>
      <c r="F3" s="156"/>
      <c r="G3" s="156"/>
      <c r="H3" s="156"/>
      <c r="I3" s="156"/>
      <c r="J3" s="156"/>
      <c r="K3" s="157" t="s">
        <v>1</v>
      </c>
      <c r="L3" s="895"/>
      <c r="O3" s="4"/>
      <c r="P3" s="4"/>
      <c r="Q3" s="4"/>
    </row>
    <row r="4" spans="1:17" ht="13.7" x14ac:dyDescent="0.2">
      <c r="A4" s="198"/>
      <c r="D4" s="6" t="str">
        <f>GL_Eingabe!C4&amp;" "&amp;GL_Eingabe!J21</f>
        <v xml:space="preserve">Düngebedarfsberechnung (Dauer-)Grünland und mehrschnitt. Feldfutterbau </v>
      </c>
      <c r="E4" s="4"/>
      <c r="F4" s="4"/>
      <c r="G4" s="4"/>
      <c r="H4" s="4"/>
      <c r="J4" s="4"/>
      <c r="K4" s="394">
        <f>GL_Eingabe!J4</f>
        <v>0</v>
      </c>
      <c r="L4" s="895"/>
      <c r="O4" s="4"/>
      <c r="P4" s="4"/>
      <c r="Q4" s="4"/>
    </row>
    <row r="5" spans="1:17" x14ac:dyDescent="0.25">
      <c r="A5" s="198"/>
      <c r="D5" s="104" t="str">
        <f>Startmenue!C4</f>
        <v>(EXCEL-Anwendung, Stand: 06/03/2018)</v>
      </c>
      <c r="E5" s="3"/>
      <c r="F5" s="3"/>
      <c r="G5" s="3"/>
      <c r="H5" s="4" t="s">
        <v>4390</v>
      </c>
      <c r="I5" s="3"/>
      <c r="J5" s="3"/>
      <c r="K5" s="648" t="str">
        <f>Startmenue!G2</f>
        <v>Version 1.2</v>
      </c>
      <c r="L5" s="895"/>
      <c r="O5" s="4"/>
      <c r="P5" s="4"/>
      <c r="Q5" s="4"/>
    </row>
    <row r="6" spans="1:17" ht="1.35" customHeight="1" x14ac:dyDescent="0.2">
      <c r="A6" s="198"/>
      <c r="D6" s="174"/>
      <c r="E6" s="163"/>
      <c r="F6" s="163"/>
      <c r="G6" s="163"/>
      <c r="H6" s="163"/>
      <c r="I6" s="163"/>
      <c r="J6" s="163"/>
      <c r="K6" s="175"/>
      <c r="L6" s="895"/>
      <c r="O6" s="4"/>
      <c r="P6" s="4"/>
      <c r="Q6" s="4"/>
    </row>
    <row r="7" spans="1:17" ht="1.35" customHeight="1" x14ac:dyDescent="0.2">
      <c r="A7" s="198"/>
      <c r="D7" s="5"/>
      <c r="E7" s="4"/>
      <c r="F7" s="4"/>
      <c r="G7" s="4"/>
      <c r="H7" s="4"/>
      <c r="I7" s="4"/>
      <c r="J7" s="4"/>
      <c r="K7" s="10"/>
      <c r="L7" s="895"/>
      <c r="O7" s="4"/>
      <c r="P7" s="4"/>
      <c r="Q7" s="4"/>
    </row>
    <row r="8" spans="1:17" ht="1.35" customHeight="1" x14ac:dyDescent="0.2">
      <c r="A8" s="198"/>
      <c r="D8" s="5"/>
      <c r="E8" s="4"/>
      <c r="F8" s="4"/>
      <c r="G8" s="4"/>
      <c r="H8" s="4"/>
      <c r="I8" s="4"/>
      <c r="J8" s="4"/>
      <c r="K8" s="10"/>
      <c r="L8" s="895"/>
      <c r="O8" s="4"/>
      <c r="P8" s="4"/>
      <c r="Q8" s="4"/>
    </row>
    <row r="9" spans="1:17" ht="1.35" customHeight="1" x14ac:dyDescent="0.2">
      <c r="A9" s="198"/>
      <c r="D9" s="5"/>
      <c r="E9" s="4"/>
      <c r="F9" s="4"/>
      <c r="G9" s="4"/>
      <c r="H9" s="4"/>
      <c r="I9" s="4"/>
      <c r="J9" s="4"/>
      <c r="K9" s="10"/>
      <c r="L9" s="895"/>
      <c r="O9" s="4"/>
      <c r="P9" s="4"/>
      <c r="Q9" s="4"/>
    </row>
    <row r="10" spans="1:17" ht="4.7" customHeight="1" x14ac:dyDescent="0.2">
      <c r="A10" s="198"/>
      <c r="D10" s="167"/>
      <c r="E10" s="3"/>
      <c r="F10" s="3"/>
      <c r="G10" s="3"/>
      <c r="H10" s="3"/>
      <c r="I10" s="3"/>
      <c r="J10" s="3"/>
      <c r="K10" s="230"/>
      <c r="L10" s="895"/>
      <c r="O10" s="4"/>
      <c r="P10" s="4"/>
      <c r="Q10" s="4"/>
    </row>
    <row r="11" spans="1:17" ht="13.7" customHeight="1" x14ac:dyDescent="0.2">
      <c r="A11" s="198"/>
      <c r="D11" s="7" t="s">
        <v>3</v>
      </c>
      <c r="E11" s="9"/>
      <c r="F11" s="400">
        <f>GL_Eingabe!E12</f>
        <v>0</v>
      </c>
      <c r="G11" s="390"/>
      <c r="H11" s="338" t="s">
        <v>4</v>
      </c>
      <c r="I11" s="1929">
        <f>GL_Eingabe!H12</f>
        <v>0</v>
      </c>
      <c r="J11" s="1930"/>
      <c r="K11" s="1931"/>
      <c r="L11" s="895"/>
      <c r="O11" s="4"/>
      <c r="P11" s="4"/>
      <c r="Q11" s="4"/>
    </row>
    <row r="12" spans="1:17" x14ac:dyDescent="0.2">
      <c r="A12" s="198"/>
      <c r="D12" s="12" t="s">
        <v>5</v>
      </c>
      <c r="E12" s="13"/>
      <c r="F12" s="627">
        <f>GL_Eingabe!E13</f>
        <v>0</v>
      </c>
      <c r="G12" s="628"/>
      <c r="H12" s="4"/>
      <c r="I12" s="1897"/>
      <c r="J12" s="1898"/>
      <c r="K12" s="1899"/>
      <c r="L12" s="895"/>
      <c r="O12" s="4"/>
      <c r="P12" s="4"/>
      <c r="Q12" s="4"/>
    </row>
    <row r="13" spans="1:17" ht="13.7" x14ac:dyDescent="0.2">
      <c r="A13" s="198"/>
      <c r="D13" s="12" t="s">
        <v>7</v>
      </c>
      <c r="E13" s="13"/>
      <c r="F13" s="627">
        <f>GL_Eingabe!E14</f>
        <v>0</v>
      </c>
      <c r="G13" s="628"/>
      <c r="H13" s="17" t="s">
        <v>6</v>
      </c>
      <c r="I13" s="28"/>
      <c r="J13" s="627">
        <f>GL_Eingabe!I14</f>
        <v>0</v>
      </c>
      <c r="K13" s="628"/>
      <c r="L13" s="895"/>
      <c r="O13" s="4"/>
      <c r="P13" s="4"/>
      <c r="Q13" s="4"/>
    </row>
    <row r="14" spans="1:17" x14ac:dyDescent="0.2">
      <c r="A14" s="198"/>
      <c r="D14" s="12" t="s">
        <v>9</v>
      </c>
      <c r="E14" s="13"/>
      <c r="F14" s="627">
        <f>GL_Eingabe!E16</f>
        <v>0</v>
      </c>
      <c r="G14" s="392"/>
      <c r="H14" t="s">
        <v>4301</v>
      </c>
      <c r="I14" s="28"/>
      <c r="J14" s="629">
        <f>GL_Eingabe!I16</f>
        <v>0</v>
      </c>
      <c r="K14" s="630"/>
      <c r="L14" s="895"/>
      <c r="O14" s="4"/>
      <c r="P14" s="4"/>
      <c r="Q14" s="4"/>
    </row>
    <row r="15" spans="1:17" x14ac:dyDescent="0.2">
      <c r="A15" s="198"/>
      <c r="D15" s="12" t="s">
        <v>11</v>
      </c>
      <c r="E15" s="13"/>
      <c r="F15" s="1012">
        <f>GL_Eingabe!E17</f>
        <v>0</v>
      </c>
      <c r="G15" s="392"/>
      <c r="H15" s="12" t="s">
        <v>4304</v>
      </c>
      <c r="I15" s="28"/>
      <c r="J15" s="627" t="str">
        <f ca="1">GL_Eingabe!I17</f>
        <v>Gemeinde und Gemarkung auswählen!</v>
      </c>
      <c r="K15" s="393"/>
      <c r="L15" s="895"/>
      <c r="O15" s="4"/>
      <c r="P15" s="4"/>
      <c r="Q15" s="4"/>
    </row>
    <row r="16" spans="1:17" ht="4.1500000000000004" customHeight="1" x14ac:dyDescent="0.2">
      <c r="A16" s="198"/>
      <c r="D16" s="5"/>
      <c r="E16" s="4"/>
      <c r="F16" s="4"/>
      <c r="G16" s="4"/>
      <c r="H16" s="4"/>
      <c r="I16" s="4"/>
      <c r="J16" s="4"/>
      <c r="K16" s="10"/>
      <c r="L16" s="895"/>
      <c r="O16" s="4"/>
      <c r="P16" s="4"/>
      <c r="Q16" s="4"/>
    </row>
    <row r="17" spans="2:12" ht="6.4" customHeight="1" x14ac:dyDescent="0.25">
      <c r="D17" s="957"/>
      <c r="E17" s="15"/>
      <c r="F17" s="958"/>
      <c r="G17" s="959"/>
      <c r="H17" s="15"/>
      <c r="I17" s="15"/>
      <c r="J17" s="15"/>
      <c r="K17" s="16"/>
      <c r="L17" s="895"/>
    </row>
    <row r="18" spans="2:12" ht="55.15" customHeight="1" x14ac:dyDescent="0.2">
      <c r="B18" s="199" t="str">
        <f t="shared" ref="B18:B26" si="0">IF(D18="","G","")</f>
        <v/>
      </c>
      <c r="C18" s="225">
        <v>1</v>
      </c>
      <c r="D18" s="1926" t="str">
        <f>IF(ISERROR(VLOOKUP(C18,Kommentarliste!$E$73:$N$108,Kommentarliste!$J$4,FALSE)),"",VLOOKUP(C18,Kommentarliste!$E$73:$N$108,Kommentarliste!$J$4,FALSE))</f>
        <v>Kommentare: Grünland, mehrschnittiger Feldfutterbau - N -</v>
      </c>
      <c r="E18" s="1927"/>
      <c r="F18" s="1927"/>
      <c r="G18" s="1927"/>
      <c r="H18" s="1927"/>
      <c r="I18" s="1927"/>
      <c r="J18" s="1927"/>
      <c r="K18" s="1928"/>
      <c r="L18" s="895"/>
    </row>
    <row r="19" spans="2:12" ht="55.15" customHeight="1" x14ac:dyDescent="0.2">
      <c r="B19" s="199" t="str">
        <f t="shared" si="0"/>
        <v/>
      </c>
      <c r="C19" s="225">
        <v>2</v>
      </c>
      <c r="D19" s="1926" t="str">
        <f>IF(ISERROR(VLOOKUP(C19,Kommentarliste!$E$73:$N$108,Kommentarliste!$J$4,FALSE)),"",VLOOKUP(C19,Kommentarliste!$E$73:$N$108,Kommentarliste!$J$4,FALSE))</f>
        <v>Hauptfrucht nicht/ungenau angegeben, daher keine Düngeempfehlung.</v>
      </c>
      <c r="E19" s="1927"/>
      <c r="F19" s="1927"/>
      <c r="G19" s="1927"/>
      <c r="H19" s="1927"/>
      <c r="I19" s="1927"/>
      <c r="J19" s="1927"/>
      <c r="K19" s="1928"/>
      <c r="L19" s="895"/>
    </row>
    <row r="20" spans="2:12" ht="55.15" customHeight="1" x14ac:dyDescent="0.2">
      <c r="B20" s="199" t="str">
        <f t="shared" si="0"/>
        <v/>
      </c>
      <c r="C20" s="225">
        <v>3</v>
      </c>
      <c r="D20" s="1926" t="str">
        <f>IF(ISERROR(VLOOKUP(C20,Kommentarliste!$E$73:$N$108,Kommentarliste!$J$4,FALSE)),"",VLOOKUP(C20,Kommentarliste!$E$73:$N$108,Kommentarliste!$J$4,FALSE))</f>
        <v>.</v>
      </c>
      <c r="E20" s="1927"/>
      <c r="F20" s="1927"/>
      <c r="G20" s="1927"/>
      <c r="H20" s="1927"/>
      <c r="I20" s="1927"/>
      <c r="J20" s="1927"/>
      <c r="K20" s="1928"/>
      <c r="L20" s="895"/>
    </row>
    <row r="21" spans="2:12" ht="55.15" customHeight="1" x14ac:dyDescent="0.2">
      <c r="B21" s="199" t="str">
        <f t="shared" si="0"/>
        <v/>
      </c>
      <c r="C21" s="225">
        <v>4</v>
      </c>
      <c r="D21" s="1926" t="str">
        <f>IF(ISERROR(VLOOKUP(C21,Kommentarliste!$E$73:$N$108,Kommentarliste!$J$4,FALSE)),"",VLOOKUP(C21,Kommentarliste!$E$73:$N$108,Kommentarliste!$J$4,FALSE))</f>
        <v>Kommentare: Grünland, mehrschnittiger Feldfutterbau - P2O5, K2O, MgO -</v>
      </c>
      <c r="E21" s="1927"/>
      <c r="F21" s="1927"/>
      <c r="G21" s="1927"/>
      <c r="H21" s="1927"/>
      <c r="I21" s="1927"/>
      <c r="J21" s="1927"/>
      <c r="K21" s="1928"/>
      <c r="L21" s="895"/>
    </row>
    <row r="22" spans="2:12" ht="55.15" customHeight="1" x14ac:dyDescent="0.2">
      <c r="B22" s="199" t="str">
        <f t="shared" si="0"/>
        <v/>
      </c>
      <c r="C22" s="225">
        <v>5</v>
      </c>
      <c r="D22" s="1926" t="str">
        <f>IF(ISERROR(VLOOKUP(C22,Kommentarliste!$E$73:$N$108,Kommentarliste!$J$4,FALSE)),"",VLOOKUP(C22,Kommentarliste!$E$73:$N$108,Kommentarliste!$J$4,FALSE))</f>
        <v>Hauptfrucht nicht/ungenau angegeben, daher keine Düngeempfehlung.</v>
      </c>
      <c r="E22" s="1927"/>
      <c r="F22" s="1927"/>
      <c r="G22" s="1927"/>
      <c r="H22" s="1927"/>
      <c r="I22" s="1927"/>
      <c r="J22" s="1927"/>
      <c r="K22" s="1928"/>
      <c r="L22" s="895"/>
    </row>
    <row r="23" spans="2:12" ht="55.15" customHeight="1" x14ac:dyDescent="0.2">
      <c r="B23" s="199" t="str">
        <f t="shared" si="0"/>
        <v/>
      </c>
      <c r="C23" s="225">
        <v>6</v>
      </c>
      <c r="D23" s="1926" t="str">
        <f>IF(ISERROR(VLOOKUP(C23,Kommentarliste!$E$73:$N$108,Kommentarliste!$J$4,FALSE)),"",VLOOKUP(C23,Kommentarliste!$E$73:$N$108,Kommentarliste!$J$4,FALSE))</f>
        <v>Kommentare: Grünland, Kalk</v>
      </c>
      <c r="E23" s="1927"/>
      <c r="F23" s="1927"/>
      <c r="G23" s="1927"/>
      <c r="H23" s="1927"/>
      <c r="I23" s="1927"/>
      <c r="J23" s="1927"/>
      <c r="K23" s="1928"/>
      <c r="L23" s="895"/>
    </row>
    <row r="24" spans="2:12" ht="55.15" customHeight="1" x14ac:dyDescent="0.2">
      <c r="B24" s="199" t="str">
        <f t="shared" si="0"/>
        <v>G</v>
      </c>
      <c r="C24" s="225">
        <v>7</v>
      </c>
      <c r="D24" s="1926" t="str">
        <f>IF(ISERROR(VLOOKUP(C24,Kommentarliste!$E$73:$N$108,Kommentarliste!$J$4,FALSE)),"",VLOOKUP(C24,Kommentarliste!$E$73:$N$108,Kommentarliste!$J$4,FALSE))</f>
        <v/>
      </c>
      <c r="E24" s="1927"/>
      <c r="F24" s="1927"/>
      <c r="G24" s="1927"/>
      <c r="H24" s="1927"/>
      <c r="I24" s="1927"/>
      <c r="J24" s="1927"/>
      <c r="K24" s="1928"/>
      <c r="L24" s="895"/>
    </row>
    <row r="25" spans="2:12" ht="55.15" customHeight="1" x14ac:dyDescent="0.2">
      <c r="B25" s="199" t="str">
        <f t="shared" si="0"/>
        <v>G</v>
      </c>
      <c r="C25" s="225">
        <v>8</v>
      </c>
      <c r="D25" s="1926" t="str">
        <f>IF(ISERROR(VLOOKUP(C25,Kommentarliste!$E$73:$N$108,Kommentarliste!$J$4,FALSE)),"",VLOOKUP(C25,Kommentarliste!$E$73:$N$108,Kommentarliste!$J$4,FALSE))</f>
        <v/>
      </c>
      <c r="E25" s="1927"/>
      <c r="F25" s="1927"/>
      <c r="G25" s="1927"/>
      <c r="H25" s="1927"/>
      <c r="I25" s="1927"/>
      <c r="J25" s="1927"/>
      <c r="K25" s="1928"/>
      <c r="L25" s="895"/>
    </row>
    <row r="26" spans="2:12" ht="55.15" customHeight="1" x14ac:dyDescent="0.2">
      <c r="B26" s="199" t="str">
        <f t="shared" si="0"/>
        <v>G</v>
      </c>
      <c r="C26" s="225">
        <v>9</v>
      </c>
      <c r="D26" s="1926" t="str">
        <f>IF(ISERROR(VLOOKUP(C26,Kommentarliste!$E$73:$N$108,Kommentarliste!$J$4,FALSE)),"",VLOOKUP(C26,Kommentarliste!$E$73:$N$108,Kommentarliste!$J$4,FALSE))</f>
        <v/>
      </c>
      <c r="E26" s="1927"/>
      <c r="F26" s="1927"/>
      <c r="G26" s="1927"/>
      <c r="H26" s="1927"/>
      <c r="I26" s="1927"/>
      <c r="J26" s="1927"/>
      <c r="K26" s="1928"/>
      <c r="L26" s="895"/>
    </row>
    <row r="27" spans="2:12" ht="55.15" customHeight="1" x14ac:dyDescent="0.2">
      <c r="C27" s="225">
        <v>10</v>
      </c>
      <c r="D27" s="1926" t="str">
        <f>IF(ISERROR(VLOOKUP(C27,Kommentarliste!$E$73:$N$108,Kommentarliste!$J$4,FALSE)),"",VLOOKUP(C27,Kommentarliste!$E$73:$N$108,Kommentarliste!$J$4,FALSE))</f>
        <v/>
      </c>
      <c r="E27" s="1927"/>
      <c r="F27" s="1927"/>
      <c r="G27" s="1927"/>
      <c r="H27" s="1927"/>
      <c r="I27" s="1927"/>
      <c r="J27" s="1927"/>
      <c r="K27" s="1928"/>
      <c r="L27" s="895"/>
    </row>
    <row r="28" spans="2:12" ht="55.15" customHeight="1" x14ac:dyDescent="0.2">
      <c r="C28" s="225">
        <v>11</v>
      </c>
      <c r="D28" s="1926" t="str">
        <f>IF(ISERROR(VLOOKUP(C28,Kommentarliste!$E$73:$N$108,Kommentarliste!$J$4,FALSE)),"",VLOOKUP(C28,Kommentarliste!$E$73:$N$108,Kommentarliste!$J$4,FALSE))</f>
        <v/>
      </c>
      <c r="E28" s="1927"/>
      <c r="F28" s="1927"/>
      <c r="G28" s="1927"/>
      <c r="H28" s="1927"/>
      <c r="I28" s="1927"/>
      <c r="J28" s="1927"/>
      <c r="K28" s="1928"/>
      <c r="L28" s="895"/>
    </row>
    <row r="29" spans="2:12" ht="55.15" customHeight="1" x14ac:dyDescent="0.2">
      <c r="B29" s="199" t="str">
        <f t="shared" ref="B29:B41" si="1">IF(D29="","G","")</f>
        <v>G</v>
      </c>
      <c r="C29" s="225">
        <v>12</v>
      </c>
      <c r="D29" s="1926" t="str">
        <f>IF(ISERROR(VLOOKUP(C29,Kommentarliste!$E$73:$N$108,Kommentarliste!$J$4,FALSE)),"",VLOOKUP(C29,Kommentarliste!$E$73:$N$108,Kommentarliste!$J$4,FALSE))</f>
        <v/>
      </c>
      <c r="E29" s="1927"/>
      <c r="F29" s="1927"/>
      <c r="G29" s="1927"/>
      <c r="H29" s="1927"/>
      <c r="I29" s="1927"/>
      <c r="J29" s="1927"/>
      <c r="K29" s="1928"/>
      <c r="L29" s="895"/>
    </row>
    <row r="30" spans="2:12" ht="55.15" customHeight="1" x14ac:dyDescent="0.2">
      <c r="B30" s="199" t="str">
        <f t="shared" si="1"/>
        <v>G</v>
      </c>
      <c r="C30" s="225">
        <v>13</v>
      </c>
      <c r="D30" s="1926" t="str">
        <f>IF(ISERROR(VLOOKUP(C30,Kommentarliste!$E$73:$N$108,Kommentarliste!$J$4,FALSE)),"",VLOOKUP(C30,Kommentarliste!$E$73:$N$108,Kommentarliste!$J$4,FALSE))</f>
        <v/>
      </c>
      <c r="E30" s="1927"/>
      <c r="F30" s="1927"/>
      <c r="G30" s="1927"/>
      <c r="H30" s="1927"/>
      <c r="I30" s="1927"/>
      <c r="J30" s="1927"/>
      <c r="K30" s="1928"/>
      <c r="L30" s="895"/>
    </row>
    <row r="31" spans="2:12" ht="55.15" customHeight="1" x14ac:dyDescent="0.2">
      <c r="B31" s="199" t="str">
        <f t="shared" si="1"/>
        <v>G</v>
      </c>
      <c r="C31" s="225">
        <v>14</v>
      </c>
      <c r="D31" s="1926" t="str">
        <f>IF(ISERROR(VLOOKUP(C31,Kommentarliste!$E$73:$N$108,Kommentarliste!$J$4,FALSE)),"",VLOOKUP(C31,Kommentarliste!$E$73:$N$108,Kommentarliste!$J$4,FALSE))</f>
        <v/>
      </c>
      <c r="E31" s="1927"/>
      <c r="F31" s="1927"/>
      <c r="G31" s="1927"/>
      <c r="H31" s="1927"/>
      <c r="I31" s="1927"/>
      <c r="J31" s="1927"/>
      <c r="K31" s="1928"/>
      <c r="L31" s="895"/>
    </row>
    <row r="32" spans="2:12" ht="55.15" customHeight="1" x14ac:dyDescent="0.2">
      <c r="B32" s="199" t="str">
        <f t="shared" si="1"/>
        <v>G</v>
      </c>
      <c r="C32" s="225">
        <v>15</v>
      </c>
      <c r="D32" s="1926" t="str">
        <f>IF(ISERROR(VLOOKUP(C32,Kommentarliste!$E$73:$N$108,Kommentarliste!$J$4,FALSE)),"",VLOOKUP(C32,Kommentarliste!$E$73:$N$108,Kommentarliste!$J$4,FALSE))</f>
        <v/>
      </c>
      <c r="E32" s="1927"/>
      <c r="F32" s="1927"/>
      <c r="G32" s="1927"/>
      <c r="H32" s="1927"/>
      <c r="I32" s="1927"/>
      <c r="J32" s="1927"/>
      <c r="K32" s="1928"/>
      <c r="L32" s="895"/>
    </row>
    <row r="33" spans="2:12" ht="55.15" customHeight="1" x14ac:dyDescent="0.2">
      <c r="B33" s="199" t="str">
        <f t="shared" si="1"/>
        <v>G</v>
      </c>
      <c r="C33" s="225">
        <v>16</v>
      </c>
      <c r="D33" s="1926" t="str">
        <f>IF(ISERROR(VLOOKUP(C33,Kommentarliste!$E$73:$N$108,Kommentarliste!$J$4,FALSE)),"",VLOOKUP(C33,Kommentarliste!$E$73:$N$108,Kommentarliste!$J$4,FALSE))</f>
        <v/>
      </c>
      <c r="E33" s="1927"/>
      <c r="F33" s="1927"/>
      <c r="G33" s="1927"/>
      <c r="H33" s="1927"/>
      <c r="I33" s="1927"/>
      <c r="J33" s="1927"/>
      <c r="K33" s="1928"/>
      <c r="L33" s="895"/>
    </row>
    <row r="34" spans="2:12" ht="55.15" customHeight="1" x14ac:dyDescent="0.2">
      <c r="B34" s="199" t="str">
        <f t="shared" si="1"/>
        <v>G</v>
      </c>
      <c r="C34" s="225">
        <v>17</v>
      </c>
      <c r="D34" s="1926" t="str">
        <f>IF(ISERROR(VLOOKUP(C34,Kommentarliste!$E$73:$N$108,Kommentarliste!$J$4,FALSE)),"",VLOOKUP(C34,Kommentarliste!$E$73:$N$108,Kommentarliste!$J$4,FALSE))</f>
        <v/>
      </c>
      <c r="E34" s="1927"/>
      <c r="F34" s="1927"/>
      <c r="G34" s="1927"/>
      <c r="H34" s="1927"/>
      <c r="I34" s="1927"/>
      <c r="J34" s="1927"/>
      <c r="K34" s="1928"/>
      <c r="L34" s="895"/>
    </row>
    <row r="35" spans="2:12" ht="55.15" customHeight="1" x14ac:dyDescent="0.2">
      <c r="B35" s="199" t="str">
        <f t="shared" si="1"/>
        <v>G</v>
      </c>
      <c r="C35" s="225">
        <v>18</v>
      </c>
      <c r="D35" s="1926" t="str">
        <f>IF(ISERROR(VLOOKUP(C35,Kommentarliste!$E$73:$N$108,Kommentarliste!$J$4,FALSE)),"",VLOOKUP(C35,Kommentarliste!$E$73:$N$108,Kommentarliste!$J$4,FALSE))</f>
        <v/>
      </c>
      <c r="E35" s="1927"/>
      <c r="F35" s="1927"/>
      <c r="G35" s="1927"/>
      <c r="H35" s="1927"/>
      <c r="I35" s="1927"/>
      <c r="J35" s="1927"/>
      <c r="K35" s="1928"/>
      <c r="L35" s="895"/>
    </row>
    <row r="36" spans="2:12" ht="55.15" customHeight="1" x14ac:dyDescent="0.2">
      <c r="B36" s="199" t="str">
        <f t="shared" si="1"/>
        <v>G</v>
      </c>
      <c r="C36" s="225">
        <v>19</v>
      </c>
      <c r="D36" s="1926" t="str">
        <f>IF(ISERROR(VLOOKUP(C36,Kommentarliste!$E$73:$N$108,Kommentarliste!$J$4,FALSE)),"",VLOOKUP(C36,Kommentarliste!$E$73:$N$108,Kommentarliste!$J$4,FALSE))</f>
        <v/>
      </c>
      <c r="E36" s="1927"/>
      <c r="F36" s="1927"/>
      <c r="G36" s="1927"/>
      <c r="H36" s="1927"/>
      <c r="I36" s="1927"/>
      <c r="J36" s="1927"/>
      <c r="K36" s="1928"/>
      <c r="L36" s="895"/>
    </row>
    <row r="37" spans="2:12" ht="55.15" customHeight="1" x14ac:dyDescent="0.2">
      <c r="B37" s="199" t="str">
        <f t="shared" si="1"/>
        <v>G</v>
      </c>
      <c r="C37" s="225">
        <v>20</v>
      </c>
      <c r="D37" s="1926" t="str">
        <f>IF(ISERROR(VLOOKUP(C37,Kommentarliste!$E$73:$N$108,Kommentarliste!$J$4,FALSE)),"",VLOOKUP(C37,Kommentarliste!$E$73:$N$108,Kommentarliste!$J$4,FALSE))</f>
        <v/>
      </c>
      <c r="E37" s="1927"/>
      <c r="F37" s="1927"/>
      <c r="G37" s="1927"/>
      <c r="H37" s="1927"/>
      <c r="I37" s="1927"/>
      <c r="J37" s="1927"/>
      <c r="K37" s="1928"/>
      <c r="L37" s="895"/>
    </row>
    <row r="38" spans="2:12" ht="55.15" customHeight="1" x14ac:dyDescent="0.2">
      <c r="B38" s="199" t="str">
        <f t="shared" si="1"/>
        <v>G</v>
      </c>
      <c r="C38" s="225">
        <v>21</v>
      </c>
      <c r="D38" s="1926" t="str">
        <f>IF(ISERROR(VLOOKUP(C38,Kommentarliste!$E$73:$N$108,Kommentarliste!$J$4,FALSE)),"",VLOOKUP(C38,Kommentarliste!$E$73:$N$108,Kommentarliste!$J$4,FALSE))</f>
        <v/>
      </c>
      <c r="E38" s="1927"/>
      <c r="F38" s="1927"/>
      <c r="G38" s="1927"/>
      <c r="H38" s="1927"/>
      <c r="I38" s="1927"/>
      <c r="J38" s="1927"/>
      <c r="K38" s="1928"/>
      <c r="L38" s="895"/>
    </row>
    <row r="39" spans="2:12" ht="55.15" customHeight="1" x14ac:dyDescent="0.2">
      <c r="B39" s="199" t="str">
        <f t="shared" si="1"/>
        <v>G</v>
      </c>
      <c r="C39" s="225">
        <v>22</v>
      </c>
      <c r="D39" s="1926" t="str">
        <f>IF(ISERROR(VLOOKUP(C39,Kommentarliste!$E$73:$N$108,Kommentarliste!$J$4,FALSE)),"",VLOOKUP(C39,Kommentarliste!$E$73:$N$108,Kommentarliste!$J$4,FALSE))</f>
        <v/>
      </c>
      <c r="E39" s="1927"/>
      <c r="F39" s="1927"/>
      <c r="G39" s="1927"/>
      <c r="H39" s="1927"/>
      <c r="I39" s="1927"/>
      <c r="J39" s="1927"/>
      <c r="K39" s="1928"/>
      <c r="L39" s="895"/>
    </row>
    <row r="40" spans="2:12" ht="55.15" customHeight="1" x14ac:dyDescent="0.2">
      <c r="B40" s="199" t="str">
        <f t="shared" si="1"/>
        <v>G</v>
      </c>
      <c r="C40" s="225">
        <v>23</v>
      </c>
      <c r="D40" s="1926" t="str">
        <f>IF(ISERROR(VLOOKUP(C40,Kommentarliste!$E$73:$N$108,Kommentarliste!$J$4,FALSE)),"",VLOOKUP(C40,Kommentarliste!$E$73:$N$108,Kommentarliste!$J$4,FALSE))</f>
        <v/>
      </c>
      <c r="E40" s="1927"/>
      <c r="F40" s="1927"/>
      <c r="G40" s="1927"/>
      <c r="H40" s="1927"/>
      <c r="I40" s="1927"/>
      <c r="J40" s="1927"/>
      <c r="K40" s="1928"/>
      <c r="L40" s="895"/>
    </row>
    <row r="41" spans="2:12" ht="55.15" customHeight="1" x14ac:dyDescent="0.2">
      <c r="B41" s="199" t="str">
        <f t="shared" si="1"/>
        <v>G</v>
      </c>
      <c r="C41" s="225">
        <v>24</v>
      </c>
      <c r="D41" s="1926" t="str">
        <f>IF(ISERROR(VLOOKUP(C41,Kommentarliste!$E$73:$N$108,Kommentarliste!$J$4,FALSE)),"",VLOOKUP(C41,Kommentarliste!$E$73:$N$108,Kommentarliste!$J$4,FALSE))</f>
        <v/>
      </c>
      <c r="E41" s="1927"/>
      <c r="F41" s="1927"/>
      <c r="G41" s="1927"/>
      <c r="H41" s="1927"/>
      <c r="I41" s="1927"/>
      <c r="J41" s="1927"/>
      <c r="K41" s="1928"/>
      <c r="L41" s="895"/>
    </row>
    <row r="42" spans="2:12" ht="55.15" customHeight="1" x14ac:dyDescent="0.2">
      <c r="B42" s="199"/>
      <c r="C42" s="225">
        <v>25</v>
      </c>
      <c r="D42" s="1926" t="str">
        <f>IF(ISERROR(VLOOKUP(C42,Kommentarliste!$E$73:$N$108,Kommentarliste!$J$4,FALSE)),"",VLOOKUP(C42,Kommentarliste!$E$73:$N$108,Kommentarliste!$J$4,FALSE))</f>
        <v/>
      </c>
      <c r="E42" s="1927"/>
      <c r="F42" s="1927"/>
      <c r="G42" s="1927"/>
      <c r="H42" s="1927"/>
      <c r="I42" s="1927"/>
      <c r="J42" s="1927"/>
      <c r="K42" s="1928"/>
      <c r="L42" s="895"/>
    </row>
    <row r="43" spans="2:12" ht="55.15" customHeight="1" x14ac:dyDescent="0.2">
      <c r="C43" s="225">
        <v>26</v>
      </c>
      <c r="D43" s="1926" t="str">
        <f>IF(ISERROR(VLOOKUP(C43,Kommentarliste!$E$73:$N$108,Kommentarliste!$J$4,FALSE)),"",VLOOKUP(C43,Kommentarliste!$E$73:$N$108,Kommentarliste!$J$4,FALSE))</f>
        <v/>
      </c>
      <c r="E43" s="1927"/>
      <c r="F43" s="1927"/>
      <c r="G43" s="1927"/>
      <c r="H43" s="1927"/>
      <c r="I43" s="1927"/>
      <c r="J43" s="1927"/>
      <c r="K43" s="1928"/>
      <c r="L43" s="895"/>
    </row>
    <row r="44" spans="2:12" ht="55.15" customHeight="1" x14ac:dyDescent="0.2">
      <c r="C44" s="225">
        <v>27</v>
      </c>
      <c r="D44" s="1926" t="str">
        <f>IF(ISERROR(VLOOKUP(C44,Kommentarliste!$E$73:$N$108,Kommentarliste!$J$4,FALSE)),"",VLOOKUP(C44,Kommentarliste!$E$73:$N$108,Kommentarliste!$J$4,FALSE))</f>
        <v/>
      </c>
      <c r="E44" s="1927"/>
      <c r="F44" s="1927"/>
      <c r="G44" s="1927"/>
      <c r="H44" s="1927"/>
      <c r="I44" s="1927"/>
      <c r="J44" s="1927"/>
      <c r="K44" s="1928"/>
      <c r="L44" s="895"/>
    </row>
    <row r="45" spans="2:12" ht="55.15" customHeight="1" x14ac:dyDescent="0.2">
      <c r="C45" s="225">
        <v>28</v>
      </c>
      <c r="D45" s="1926" t="str">
        <f>IF(ISERROR(VLOOKUP(C45,Kommentarliste!$E$73:$N$108,Kommentarliste!$J$4,FALSE)),"",VLOOKUP(C45,Kommentarliste!$E$73:$N$108,Kommentarliste!$J$4,FALSE))</f>
        <v/>
      </c>
      <c r="E45" s="1927"/>
      <c r="F45" s="1927"/>
      <c r="G45" s="1927"/>
      <c r="H45" s="1927"/>
      <c r="I45" s="1927"/>
      <c r="J45" s="1927"/>
      <c r="K45" s="1928"/>
      <c r="L45" s="895"/>
    </row>
    <row r="46" spans="2:12" ht="55.15" customHeight="1" x14ac:dyDescent="0.2">
      <c r="C46" s="225">
        <v>29</v>
      </c>
      <c r="D46" s="1926" t="str">
        <f>IF(ISERROR(VLOOKUP(C46,Kommentarliste!$E$73:$N$108,Kommentarliste!$J$4,FALSE)),"",VLOOKUP(C46,Kommentarliste!$E$73:$N$108,Kommentarliste!$J$4,FALSE))</f>
        <v/>
      </c>
      <c r="E46" s="1927"/>
      <c r="F46" s="1927"/>
      <c r="G46" s="1927"/>
      <c r="H46" s="1927"/>
      <c r="I46" s="1927"/>
      <c r="J46" s="1927"/>
      <c r="K46" s="1928"/>
    </row>
    <row r="47" spans="2:12" ht="55.15" customHeight="1" x14ac:dyDescent="0.2">
      <c r="C47" s="225">
        <v>30</v>
      </c>
      <c r="D47" s="1926" t="str">
        <f>IF(ISERROR(VLOOKUP(C47,Kommentarliste!$E$73:$N$108,Kommentarliste!$J$4,FALSE)),"",VLOOKUP(C47,Kommentarliste!$E$73:$N$108,Kommentarliste!$J$4,FALSE))</f>
        <v/>
      </c>
      <c r="E47" s="1927"/>
      <c r="F47" s="1927"/>
      <c r="G47" s="1927"/>
      <c r="H47" s="1927"/>
      <c r="I47" s="1927"/>
      <c r="J47" s="1927"/>
      <c r="K47" s="1928"/>
    </row>
    <row r="48" spans="2:12" ht="55.15" customHeight="1" x14ac:dyDescent="0.2">
      <c r="C48" s="225">
        <v>31</v>
      </c>
      <c r="D48" s="1926" t="str">
        <f>IF(ISERROR(VLOOKUP(C48,Kommentarliste!$E$73:$N$108,Kommentarliste!$J$4,FALSE)),"",VLOOKUP(C48,Kommentarliste!$E$73:$N$108,Kommentarliste!$J$4,FALSE))</f>
        <v/>
      </c>
      <c r="E48" s="1927"/>
      <c r="F48" s="1927"/>
      <c r="G48" s="1927"/>
      <c r="H48" s="1927"/>
      <c r="I48" s="1927"/>
      <c r="J48" s="1927"/>
      <c r="K48" s="1928"/>
    </row>
    <row r="49" spans="3:11" ht="55.15" customHeight="1" x14ac:dyDescent="0.2">
      <c r="C49" s="225">
        <v>32</v>
      </c>
      <c r="D49" s="1926" t="str">
        <f>IF(ISERROR(VLOOKUP(C49,Kommentarliste!$E$73:$N$108,Kommentarliste!$J$4,FALSE)),"",VLOOKUP(C49,Kommentarliste!$E$73:$N$108,Kommentarliste!$J$4,FALSE))</f>
        <v/>
      </c>
      <c r="E49" s="1927"/>
      <c r="F49" s="1927"/>
      <c r="G49" s="1927"/>
      <c r="H49" s="1927"/>
      <c r="I49" s="1927"/>
      <c r="J49" s="1927"/>
      <c r="K49" s="1928"/>
    </row>
    <row r="50" spans="3:11" ht="55.15" customHeight="1" x14ac:dyDescent="0.2">
      <c r="C50" s="225">
        <v>33</v>
      </c>
      <c r="D50" s="1926" t="str">
        <f>IF(ISERROR(VLOOKUP(C50,Kommentarliste!$E$73:$N$108,Kommentarliste!$J$4,FALSE)),"",VLOOKUP(C50,Kommentarliste!$E$73:$N$108,Kommentarliste!$J$4,FALSE))</f>
        <v/>
      </c>
      <c r="E50" s="1927"/>
      <c r="F50" s="1927"/>
      <c r="G50" s="1927"/>
      <c r="H50" s="1927"/>
      <c r="I50" s="1927"/>
      <c r="J50" s="1927"/>
      <c r="K50" s="1928"/>
    </row>
  </sheetData>
  <sheetProtection password="8677" sheet="1" objects="1" scenarios="1"/>
  <mergeCells count="34">
    <mergeCell ref="I11:K12"/>
    <mergeCell ref="D44:K44"/>
    <mergeCell ref="D39:K39"/>
    <mergeCell ref="D40:K40"/>
    <mergeCell ref="D41:K41"/>
    <mergeCell ref="D33:K33"/>
    <mergeCell ref="D34:K34"/>
    <mergeCell ref="D35:K35"/>
    <mergeCell ref="D36:K36"/>
    <mergeCell ref="D37:K37"/>
    <mergeCell ref="D38:K38"/>
    <mergeCell ref="D42:K42"/>
    <mergeCell ref="D43:K43"/>
    <mergeCell ref="D24:K24"/>
    <mergeCell ref="D25:K25"/>
    <mergeCell ref="D26:K26"/>
    <mergeCell ref="D29:K29"/>
    <mergeCell ref="D32:K32"/>
    <mergeCell ref="D30:K30"/>
    <mergeCell ref="D31:K31"/>
    <mergeCell ref="D27:K27"/>
    <mergeCell ref="D28:K28"/>
    <mergeCell ref="D23:K23"/>
    <mergeCell ref="D18:K18"/>
    <mergeCell ref="D19:K19"/>
    <mergeCell ref="D20:K20"/>
    <mergeCell ref="D21:K21"/>
    <mergeCell ref="D22:K22"/>
    <mergeCell ref="D50:K50"/>
    <mergeCell ref="D45:K45"/>
    <mergeCell ref="D46:K46"/>
    <mergeCell ref="D47:K47"/>
    <mergeCell ref="D48:K48"/>
    <mergeCell ref="D49:K49"/>
  </mergeCells>
  <conditionalFormatting sqref="D18:K18">
    <cfRule type="beginsWith" dxfId="18" priority="2" operator="beginsWith" text="Kommentare">
      <formula>LEFT(D18,LEN("Kommentare"))="Kommentare"</formula>
    </cfRule>
  </conditionalFormatting>
  <conditionalFormatting sqref="D19:K50">
    <cfRule type="beginsWith" dxfId="17" priority="1" operator="beginsWith" text="Kommentare">
      <formula>LEFT(D19,LEN("Kommentare"))="Kommentare"</formula>
    </cfRule>
  </conditionalFormatting>
  <pageMargins left="0.7" right="0.7" top="0.78740157499999996" bottom="0.78740157499999996" header="0.3" footer="0.3"/>
  <pageSetup paperSize="9" scale="83" orientation="portrait" verticalDpi="0" r:id="rId1"/>
  <rowBreaks count="1" manualBreakCount="1">
    <brk id="40" max="16383" man="1"/>
  </rowBreaks>
  <colBreaks count="1" manualBreakCount="1">
    <brk id="11" max="1048575" man="1"/>
  </colBreak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7">
    <tabColor theme="7" tint="0.39997558519241921"/>
    <pageSetUpPr fitToPage="1"/>
  </sheetPr>
  <dimension ref="B1:AR316"/>
  <sheetViews>
    <sheetView showGridLines="0" zoomScaleNormal="100" workbookViewId="0">
      <pane xSplit="2" ySplit="22" topLeftCell="C23" activePane="bottomRight" state="frozen"/>
      <selection activeCell="A10" sqref="A10"/>
      <selection pane="topRight" activeCell="A10" sqref="A10"/>
      <selection pane="bottomLeft" activeCell="A10" sqref="A10"/>
      <selection pane="bottomRight" activeCell="H15" sqref="H15:I15"/>
    </sheetView>
  </sheetViews>
  <sheetFormatPr baseColWidth="10" defaultRowHeight="14.25" x14ac:dyDescent="0.2"/>
  <cols>
    <col min="1" max="1" width="0.5" customWidth="1"/>
    <col min="2" max="2" width="2.75" customWidth="1"/>
    <col min="3" max="3" width="12" customWidth="1"/>
    <col min="5" max="5" width="12" bestFit="1" customWidth="1"/>
    <col min="8" max="9" width="15.625" customWidth="1"/>
    <col min="10" max="10" width="17" customWidth="1"/>
    <col min="11" max="11" width="12.25" hidden="1" customWidth="1"/>
    <col min="12" max="12" width="14.375" style="26" hidden="1" customWidth="1"/>
    <col min="13" max="13" width="12.125" hidden="1" customWidth="1"/>
    <col min="14" max="14" width="2.625" hidden="1" customWidth="1"/>
    <col min="15" max="15" width="67.375" hidden="1" customWidth="1"/>
    <col min="16" max="16" width="11.5" hidden="1" customWidth="1"/>
    <col min="17" max="17" width="24.625" hidden="1" customWidth="1"/>
    <col min="18" max="18" width="11.5" hidden="1" customWidth="1"/>
    <col min="19" max="43" width="0" hidden="1" customWidth="1"/>
  </cols>
  <sheetData>
    <row r="1" spans="3:44" ht="2.85" customHeight="1" x14ac:dyDescent="0.2"/>
    <row r="2" spans="3:44" ht="30.6" customHeight="1" x14ac:dyDescent="0.25">
      <c r="C2" s="396"/>
      <c r="D2" s="397"/>
      <c r="E2" s="397"/>
      <c r="F2" s="397"/>
      <c r="G2" s="397"/>
      <c r="H2" s="397"/>
      <c r="I2" s="397"/>
      <c r="J2" s="398"/>
      <c r="K2" s="896" t="s">
        <v>4402</v>
      </c>
    </row>
    <row r="3" spans="3:44" ht="18.399999999999999" x14ac:dyDescent="0.3">
      <c r="C3" s="155" t="str">
        <f>Startmenue!C2</f>
        <v>Düngung BW</v>
      </c>
      <c r="D3" s="156"/>
      <c r="E3" s="156"/>
      <c r="F3" s="156"/>
      <c r="G3" s="156"/>
      <c r="H3" s="156"/>
      <c r="I3" s="156"/>
      <c r="J3" s="157" t="s">
        <v>1</v>
      </c>
      <c r="K3" s="895"/>
      <c r="M3" s="99"/>
      <c r="R3" s="4"/>
      <c r="S3" s="4"/>
      <c r="T3" s="4"/>
    </row>
    <row r="4" spans="3:44" x14ac:dyDescent="0.2">
      <c r="C4" s="6" t="s">
        <v>3936</v>
      </c>
      <c r="D4" s="4"/>
      <c r="E4" s="4"/>
      <c r="F4" s="4"/>
      <c r="G4" s="49" t="s">
        <v>3933</v>
      </c>
      <c r="H4" s="4"/>
      <c r="I4" s="4"/>
      <c r="J4" s="395"/>
      <c r="K4" s="895"/>
      <c r="O4" s="4"/>
      <c r="R4" s="4"/>
      <c r="S4" s="4"/>
      <c r="T4" s="4"/>
    </row>
    <row r="5" spans="3:44" x14ac:dyDescent="0.25">
      <c r="C5" s="104" t="str">
        <f>Startmenue!C4</f>
        <v>(EXCEL-Anwendung, Stand: 06/03/2018)</v>
      </c>
      <c r="D5" s="3"/>
      <c r="E5" s="3"/>
      <c r="F5" s="3"/>
      <c r="G5" s="3"/>
      <c r="H5" s="3"/>
      <c r="I5" s="3"/>
      <c r="J5" s="648" t="str">
        <f>Startmenue!G2</f>
        <v>Version 1.2</v>
      </c>
      <c r="K5" s="895"/>
      <c r="O5" s="4"/>
      <c r="R5" s="4"/>
      <c r="S5" s="4"/>
      <c r="T5" s="4"/>
    </row>
    <row r="6" spans="3:44" ht="2.1" customHeight="1" x14ac:dyDescent="0.2">
      <c r="C6" s="174"/>
      <c r="D6" s="163"/>
      <c r="E6" s="163"/>
      <c r="F6" s="163"/>
      <c r="G6" s="163"/>
      <c r="H6" s="163"/>
      <c r="I6" s="163"/>
      <c r="J6" s="175"/>
      <c r="K6" s="895"/>
      <c r="O6" s="4"/>
      <c r="R6" s="4"/>
      <c r="S6" s="4"/>
      <c r="T6" s="4"/>
    </row>
    <row r="7" spans="3:44" ht="2.1" customHeight="1" x14ac:dyDescent="0.2">
      <c r="C7" s="5"/>
      <c r="D7" s="4"/>
      <c r="E7" s="4"/>
      <c r="F7" s="4"/>
      <c r="G7" s="4"/>
      <c r="H7" s="4"/>
      <c r="I7" s="4"/>
      <c r="J7" s="10"/>
      <c r="K7" s="895"/>
      <c r="O7" s="4"/>
      <c r="R7" s="4"/>
      <c r="S7" s="4"/>
      <c r="T7" s="4"/>
    </row>
    <row r="8" spans="3:44" ht="2.1" customHeight="1" x14ac:dyDescent="0.2">
      <c r="C8" s="5"/>
      <c r="D8" s="4"/>
      <c r="E8" s="4"/>
      <c r="F8" s="4"/>
      <c r="G8" s="4"/>
      <c r="H8" s="4"/>
      <c r="I8" s="4"/>
      <c r="J8" s="10"/>
      <c r="K8" s="895"/>
      <c r="O8" s="306"/>
      <c r="R8" s="4"/>
      <c r="S8" s="4"/>
      <c r="T8" s="4"/>
    </row>
    <row r="9" spans="3:44" ht="13.7" x14ac:dyDescent="0.2">
      <c r="C9" s="418" t="s">
        <v>2</v>
      </c>
      <c r="D9" s="11"/>
      <c r="E9" s="11"/>
      <c r="F9" s="4"/>
      <c r="G9" s="4"/>
      <c r="H9" s="4"/>
      <c r="I9" s="4"/>
      <c r="J9" s="10"/>
      <c r="K9" s="895"/>
      <c r="O9" s="4"/>
      <c r="P9" s="4"/>
      <c r="Q9" s="4"/>
      <c r="R9" s="4"/>
      <c r="S9" s="4"/>
      <c r="T9" s="4"/>
    </row>
    <row r="10" spans="3:44" ht="15" x14ac:dyDescent="0.25">
      <c r="C10" s="5" t="s">
        <v>3941</v>
      </c>
      <c r="D10" s="4"/>
      <c r="E10" s="4"/>
      <c r="F10" s="4" t="s">
        <v>3943</v>
      </c>
      <c r="G10" s="4"/>
      <c r="H10" s="4"/>
      <c r="I10" s="4"/>
      <c r="J10" s="10"/>
      <c r="K10" s="895"/>
      <c r="O10" s="142"/>
      <c r="P10" s="4"/>
      <c r="Q10" s="4"/>
      <c r="R10" s="4"/>
      <c r="S10" s="4"/>
      <c r="T10" s="4"/>
    </row>
    <row r="11" spans="3:44" ht="4.1500000000000004" customHeight="1" thickBot="1" x14ac:dyDescent="0.25">
      <c r="C11" s="167"/>
      <c r="D11" s="3"/>
      <c r="E11" s="3"/>
      <c r="F11" s="3"/>
      <c r="G11" s="3"/>
      <c r="H11" s="3"/>
      <c r="I11" s="3"/>
      <c r="J11" s="230"/>
      <c r="K11" s="895"/>
      <c r="O11" s="98"/>
      <c r="P11" s="4"/>
      <c r="Q11" s="4"/>
      <c r="R11" s="4"/>
      <c r="S11" s="4"/>
      <c r="T11" s="4"/>
    </row>
    <row r="12" spans="3:44" ht="13.7" customHeight="1" x14ac:dyDescent="0.2">
      <c r="C12" s="7" t="s">
        <v>3</v>
      </c>
      <c r="D12" s="9"/>
      <c r="E12" s="1950"/>
      <c r="F12" s="1951"/>
      <c r="G12" s="7" t="s">
        <v>4</v>
      </c>
      <c r="H12" s="1860"/>
      <c r="I12" s="1861"/>
      <c r="J12" s="1862"/>
      <c r="K12" s="895"/>
      <c r="M12" s="431" t="s">
        <v>3667</v>
      </c>
      <c r="N12" s="432"/>
      <c r="O12" s="142"/>
      <c r="P12" s="4"/>
      <c r="Q12" s="4"/>
      <c r="R12" s="4"/>
      <c r="S12" s="4"/>
      <c r="T12" s="4"/>
    </row>
    <row r="13" spans="3:44" x14ac:dyDescent="0.2">
      <c r="C13" s="12" t="s">
        <v>5</v>
      </c>
      <c r="D13" s="13"/>
      <c r="E13" s="1952"/>
      <c r="F13" s="1953"/>
      <c r="G13" s="4"/>
      <c r="H13" s="1863"/>
      <c r="I13" s="1864"/>
      <c r="J13" s="1865"/>
      <c r="K13" s="895"/>
      <c r="M13" s="307" t="s">
        <v>3668</v>
      </c>
      <c r="N13" s="308"/>
      <c r="P13" s="4"/>
      <c r="Q13" s="4"/>
      <c r="R13" s="4"/>
      <c r="S13" s="4"/>
      <c r="T13" s="4"/>
    </row>
    <row r="14" spans="3:44" x14ac:dyDescent="0.2">
      <c r="C14" s="12" t="s">
        <v>7</v>
      </c>
      <c r="D14" s="13"/>
      <c r="E14" s="1954"/>
      <c r="F14" s="1955"/>
      <c r="G14" s="12" t="s">
        <v>6</v>
      </c>
      <c r="H14" s="148"/>
      <c r="I14" s="1954"/>
      <c r="J14" s="1955"/>
      <c r="K14" s="895"/>
      <c r="M14" s="307" t="s">
        <v>3669</v>
      </c>
      <c r="N14" s="308"/>
      <c r="O14" s="4"/>
      <c r="P14" s="4"/>
      <c r="Q14" s="4"/>
      <c r="R14" s="4"/>
      <c r="S14" s="4"/>
      <c r="T14" s="4"/>
    </row>
    <row r="15" spans="3:44" x14ac:dyDescent="0.2">
      <c r="C15" s="12"/>
      <c r="D15" s="1815"/>
      <c r="E15" s="1819"/>
      <c r="F15" s="1820"/>
      <c r="G15" s="419" t="s">
        <v>4905</v>
      </c>
      <c r="H15" s="1853"/>
      <c r="I15" s="1854"/>
      <c r="J15" s="427"/>
      <c r="K15" s="1823"/>
      <c r="L15" s="1818"/>
      <c r="M15" s="307"/>
      <c r="N15" s="308"/>
      <c r="O15" s="4"/>
      <c r="P15" s="4"/>
      <c r="Q15" s="4"/>
      <c r="R15" s="4"/>
      <c r="S15" s="4"/>
      <c r="T15" s="4"/>
    </row>
    <row r="16" spans="3:44" s="59" customFormat="1" ht="13.7" customHeight="1" x14ac:dyDescent="0.2">
      <c r="C16" s="419" t="s">
        <v>9</v>
      </c>
      <c r="D16" s="420"/>
      <c r="E16" s="421"/>
      <c r="F16" s="422"/>
      <c r="G16" t="s">
        <v>4906</v>
      </c>
      <c r="H16" s="1853"/>
      <c r="I16" s="1854"/>
      <c r="J16" s="1940"/>
      <c r="K16" s="1941"/>
      <c r="L16" s="433"/>
      <c r="M16" s="309"/>
      <c r="N16" s="117"/>
      <c r="O16" s="423" t="s">
        <v>3675</v>
      </c>
      <c r="Q16" s="58"/>
      <c r="R16" s="58"/>
      <c r="S16" s="58"/>
      <c r="T16" s="58"/>
      <c r="AR16" s="57"/>
    </row>
    <row r="17" spans="3:20" x14ac:dyDescent="0.2">
      <c r="C17" s="12" t="s">
        <v>11</v>
      </c>
      <c r="D17" s="13"/>
      <c r="E17" s="1013"/>
      <c r="F17" s="148"/>
      <c r="G17" s="419" t="s">
        <v>4304</v>
      </c>
      <c r="H17" s="422"/>
      <c r="I17" s="467" t="str">
        <f ca="1">IFERROR(VLOOKUP(H16,OFFSET(Gemarkungen!$C$12,VLOOKUP(H15,Gemarkungen!$O$13:$R$1130,3,FALSE),0,VLOOKUP(H15, Gemarkungen!$O$13:$R$1130,4,FALSE)-VLOOKUP(H15,Gemarkungen!$O$13:$R$1130,3,FALSE)+1,4),4,FALSE),"Gemeinde und Gemarkung auswählen!")</f>
        <v>Gemeinde und Gemarkung auswählen!</v>
      </c>
      <c r="J17" s="420"/>
      <c r="K17" s="898"/>
      <c r="M17" s="307"/>
      <c r="N17" s="308"/>
      <c r="O17" s="4"/>
      <c r="P17" s="4"/>
      <c r="Q17" s="4"/>
      <c r="R17" s="4"/>
      <c r="S17" s="4"/>
      <c r="T17" s="4"/>
    </row>
    <row r="18" spans="3:20" ht="4.1500000000000004" customHeight="1" x14ac:dyDescent="0.2">
      <c r="C18" s="5"/>
      <c r="D18" s="4"/>
      <c r="E18" s="4"/>
      <c r="F18" s="4"/>
      <c r="G18" s="4"/>
      <c r="H18" s="4"/>
      <c r="I18" s="4"/>
      <c r="J18" s="10"/>
      <c r="K18" s="895"/>
      <c r="M18" s="307"/>
      <c r="N18" s="308"/>
      <c r="O18" s="4"/>
      <c r="P18" s="4"/>
      <c r="Q18" s="4"/>
      <c r="R18" s="4"/>
      <c r="S18" s="4"/>
      <c r="T18" s="4"/>
    </row>
    <row r="19" spans="3:20" ht="13.7" x14ac:dyDescent="0.2">
      <c r="C19" s="331" t="s">
        <v>12</v>
      </c>
      <c r="D19" s="332"/>
      <c r="E19" s="332"/>
      <c r="F19" s="332"/>
      <c r="G19" s="332"/>
      <c r="H19" s="332"/>
      <c r="I19" s="332"/>
      <c r="J19" s="333"/>
      <c r="K19" s="895"/>
      <c r="M19" s="307"/>
      <c r="N19" s="308"/>
      <c r="O19" s="4"/>
    </row>
    <row r="20" spans="3:20" ht="38.85" customHeight="1" x14ac:dyDescent="0.25">
      <c r="C20" s="1956" t="str">
        <f>IF(AND(M22&gt;9,M22&lt;13),HYPERLINK("https://www.duengung-bw.de","Die Hauptfrucht ''Erdbeeren…'' ist für den Fall, dass im selben Jahr Gemüse als Hauptfrucht angebaut wurde, nicht mit dieser Anwendung zu berechnen. Bitte verwenden Sie für diese Fälle den Dienst Düngebedarfsermittlung auf dem Onlineportal."),"")</f>
        <v/>
      </c>
      <c r="D20" s="1957"/>
      <c r="E20" s="1957"/>
      <c r="F20" s="1957"/>
      <c r="G20" s="1957"/>
      <c r="H20" s="1957"/>
      <c r="I20" s="1957"/>
      <c r="J20" s="1669" t="str">
        <f>IF(AND(M22&gt;9,M22&lt;13),HYPERLINK("https://www.duengung-bw.de"," zu Düngung BW"),"")</f>
        <v/>
      </c>
      <c r="K20" s="895"/>
      <c r="M20" s="307"/>
      <c r="N20" s="308"/>
      <c r="O20" s="4"/>
    </row>
    <row r="21" spans="3:20" ht="13.7" hidden="1" x14ac:dyDescent="0.2">
      <c r="C21" s="7"/>
      <c r="D21" s="1667"/>
      <c r="E21" s="1667"/>
      <c r="F21" s="1667"/>
      <c r="G21" s="1667"/>
      <c r="H21" s="1667"/>
      <c r="I21" s="1667"/>
      <c r="J21" s="1668"/>
      <c r="K21" s="895"/>
      <c r="L21" s="1535"/>
      <c r="M21" s="307"/>
      <c r="N21" s="308"/>
      <c r="O21" s="4"/>
    </row>
    <row r="22" spans="3:20" ht="13.7" customHeight="1" x14ac:dyDescent="0.2">
      <c r="C22" s="103" t="s">
        <v>4320</v>
      </c>
      <c r="D22" s="18"/>
      <c r="E22" s="19"/>
      <c r="F22" s="19"/>
      <c r="G22" s="4"/>
      <c r="H22" s="4"/>
      <c r="I22" s="146" t="s">
        <v>15</v>
      </c>
      <c r="J22" s="324"/>
      <c r="K22" s="895"/>
      <c r="L22" s="26" t="s">
        <v>13</v>
      </c>
      <c r="M22" s="1050">
        <v>1</v>
      </c>
      <c r="N22" s="311">
        <v>1</v>
      </c>
      <c r="O22" s="101" t="s">
        <v>3674</v>
      </c>
      <c r="Q22" s="142" t="s">
        <v>4555</v>
      </c>
      <c r="R22" s="4"/>
      <c r="S22" s="4"/>
      <c r="T22" s="4"/>
    </row>
    <row r="23" spans="3:20" ht="13.7" customHeight="1" x14ac:dyDescent="0.2">
      <c r="C23" s="1948"/>
      <c r="D23" s="1949"/>
      <c r="E23" s="1949"/>
      <c r="F23" s="1949"/>
      <c r="G23" s="1536"/>
      <c r="H23" s="1537"/>
      <c r="I23" s="1537"/>
      <c r="J23" s="1538"/>
      <c r="K23" s="895"/>
      <c r="M23" s="307"/>
      <c r="N23" s="308"/>
      <c r="O23" s="4"/>
      <c r="P23" s="4"/>
      <c r="Q23" s="142" t="s">
        <v>4554</v>
      </c>
      <c r="R23" s="4"/>
      <c r="S23" s="4"/>
      <c r="T23" s="4"/>
    </row>
    <row r="24" spans="3:20" ht="13.7" customHeight="1" x14ac:dyDescent="0.2">
      <c r="C24" s="149" t="str">
        <f>IF(OR(M22=11,M22=12),"Ertragsdurchschnitt der letzten 3 Jahre","Ertragseerwartung [dt/ha] *")</f>
        <v>Ertragseerwartung [dt/ha] *</v>
      </c>
      <c r="D24" s="31"/>
      <c r="E24" s="1725"/>
      <c r="F24" s="328"/>
      <c r="G24" s="1522" t="str">
        <f>IF(M22=1,"",IF(AND(VLOOKUP(M22,Kulturen!E78:AM93,Kulturen!T8,FALSE)=0,OR(F24&gt;0,F24="")),"Bitte für diese Hauptfrucht einen Ertrag von Null eintragen.",""))</f>
        <v/>
      </c>
      <c r="H24" s="1537"/>
      <c r="I24" s="1537"/>
      <c r="J24" s="1538"/>
      <c r="K24" s="895"/>
      <c r="M24" s="307"/>
      <c r="N24" s="308"/>
      <c r="O24" s="4"/>
      <c r="P24" s="4"/>
      <c r="Q24" s="4"/>
      <c r="R24" s="4"/>
      <c r="S24" s="4"/>
      <c r="T24" s="4"/>
    </row>
    <row r="25" spans="3:20" ht="13.7" customHeight="1" x14ac:dyDescent="0.2">
      <c r="C25" s="1533"/>
      <c r="D25" s="4"/>
      <c r="E25" s="4"/>
      <c r="F25" s="1534"/>
      <c r="G25" s="1537"/>
      <c r="H25" s="1537"/>
      <c r="I25" s="1537"/>
      <c r="J25" s="1538"/>
      <c r="K25" s="895"/>
      <c r="M25" s="307"/>
      <c r="N25" s="308"/>
      <c r="O25" s="4"/>
      <c r="P25" s="4"/>
      <c r="Q25" s="4"/>
      <c r="R25" s="4"/>
      <c r="S25" s="4"/>
      <c r="T25" s="4"/>
    </row>
    <row r="26" spans="3:20" s="59" customFormat="1" ht="13.7" customHeight="1" x14ac:dyDescent="0.2">
      <c r="C26" s="334" t="s">
        <v>4719</v>
      </c>
      <c r="D26" s="335"/>
      <c r="E26" s="335"/>
      <c r="F26" s="335"/>
      <c r="G26" s="335"/>
      <c r="H26" s="335"/>
      <c r="I26" s="335"/>
      <c r="J26" s="336"/>
      <c r="K26" s="897"/>
      <c r="L26" s="433"/>
      <c r="M26" s="312"/>
      <c r="N26" s="313"/>
      <c r="O26" s="58"/>
      <c r="P26" s="58"/>
      <c r="Q26" s="58"/>
      <c r="R26" s="58"/>
      <c r="S26" s="58"/>
      <c r="T26" s="58"/>
    </row>
    <row r="27" spans="3:20" ht="13.7" customHeight="1" x14ac:dyDescent="0.2">
      <c r="C27" s="5"/>
      <c r="D27" s="4"/>
      <c r="E27" s="4"/>
      <c r="F27" s="4"/>
      <c r="G27" s="4"/>
      <c r="H27" s="4"/>
      <c r="I27" s="4"/>
      <c r="J27" s="10"/>
      <c r="K27" s="895"/>
      <c r="M27" s="307"/>
      <c r="N27" s="308"/>
      <c r="O27" s="4"/>
      <c r="P27" s="4"/>
      <c r="Q27" s="4"/>
      <c r="R27" s="4"/>
      <c r="S27" s="4"/>
      <c r="T27" s="4"/>
    </row>
    <row r="28" spans="3:20" s="59" customFormat="1" ht="13.7" customHeight="1" x14ac:dyDescent="0.2">
      <c r="C28" s="419" t="s">
        <v>4321</v>
      </c>
      <c r="D28" s="425"/>
      <c r="E28" s="425"/>
      <c r="F28" s="462"/>
      <c r="G28" s="58"/>
      <c r="H28" s="58"/>
      <c r="I28" s="58"/>
      <c r="J28" s="61"/>
      <c r="K28" s="897"/>
      <c r="L28" s="433"/>
      <c r="M28" s="312"/>
      <c r="N28" s="313"/>
      <c r="O28" s="58"/>
      <c r="P28" s="58"/>
      <c r="Q28" s="58"/>
      <c r="R28" s="58"/>
      <c r="S28" s="58"/>
      <c r="T28" s="58"/>
    </row>
    <row r="29" spans="3:20" ht="13.7" customHeight="1" x14ac:dyDescent="0.2">
      <c r="C29" s="5"/>
      <c r="D29" s="4"/>
      <c r="E29" s="4"/>
      <c r="F29" s="4"/>
      <c r="G29" s="4"/>
      <c r="H29" s="4"/>
      <c r="I29" s="4"/>
      <c r="J29" s="10"/>
      <c r="K29" s="895"/>
      <c r="M29" s="307"/>
      <c r="N29" s="308"/>
      <c r="O29" s="4"/>
      <c r="P29" s="4"/>
      <c r="Q29" s="4"/>
      <c r="R29" s="4"/>
      <c r="S29" s="4"/>
      <c r="T29" s="4"/>
    </row>
    <row r="30" spans="3:20" ht="13.7" customHeight="1" x14ac:dyDescent="0.2">
      <c r="C30" s="331" t="s">
        <v>3576</v>
      </c>
      <c r="D30" s="332"/>
      <c r="E30" s="332"/>
      <c r="F30" s="332"/>
      <c r="G30" s="332"/>
      <c r="H30" s="332"/>
      <c r="I30" s="332"/>
      <c r="J30" s="333"/>
      <c r="K30" s="895"/>
      <c r="M30" s="307"/>
      <c r="N30" s="308"/>
      <c r="O30" s="4"/>
      <c r="P30" s="4"/>
      <c r="Q30" s="4"/>
      <c r="R30" s="4"/>
      <c r="S30" s="4"/>
      <c r="T30" s="4"/>
    </row>
    <row r="31" spans="3:20" ht="13.7" customHeight="1" x14ac:dyDescent="0.2">
      <c r="C31" s="14"/>
      <c r="D31" s="15"/>
      <c r="E31" s="15"/>
      <c r="F31" s="15"/>
      <c r="G31" s="15"/>
      <c r="H31" s="15"/>
      <c r="I31" s="15"/>
      <c r="J31" s="16"/>
      <c r="K31" s="895"/>
      <c r="M31" s="307"/>
      <c r="N31" s="308"/>
      <c r="O31" s="4"/>
    </row>
    <row r="32" spans="3:20" ht="13.7" customHeight="1" x14ac:dyDescent="0.2">
      <c r="C32" s="146" t="s">
        <v>3577</v>
      </c>
      <c r="D32" s="21"/>
      <c r="E32" s="15"/>
      <c r="F32" s="15"/>
      <c r="G32" s="87"/>
      <c r="H32" s="15"/>
      <c r="I32" s="4"/>
      <c r="J32" s="10"/>
      <c r="K32" s="895"/>
      <c r="M32" s="307"/>
      <c r="N32" s="308"/>
      <c r="O32" s="4"/>
      <c r="P32" s="4"/>
      <c r="Q32" s="4"/>
      <c r="R32" s="4"/>
      <c r="S32" s="4"/>
      <c r="T32" s="4"/>
    </row>
    <row r="33" spans="2:20" ht="17.25" customHeight="1" x14ac:dyDescent="0.35">
      <c r="C33" s="5"/>
      <c r="D33" s="15"/>
      <c r="E33" s="15"/>
      <c r="F33" s="15"/>
      <c r="G33" s="87"/>
      <c r="H33" s="149" t="s">
        <v>4829</v>
      </c>
      <c r="I33" s="31"/>
      <c r="J33" s="13"/>
      <c r="K33" s="895"/>
      <c r="L33" s="102" t="s">
        <v>3577</v>
      </c>
      <c r="M33" s="323">
        <v>4</v>
      </c>
      <c r="N33" s="311">
        <v>4</v>
      </c>
      <c r="O33" s="101" t="s">
        <v>3679</v>
      </c>
      <c r="P33" s="4"/>
      <c r="Q33" s="4"/>
      <c r="R33" s="4"/>
      <c r="S33" s="4"/>
      <c r="T33" s="4"/>
    </row>
    <row r="34" spans="2:20" s="59" customFormat="1" ht="13.7" customHeight="1" x14ac:dyDescent="0.2">
      <c r="C34" s="424" t="s">
        <v>4329</v>
      </c>
      <c r="D34" s="424" t="s">
        <v>22</v>
      </c>
      <c r="E34" s="419"/>
      <c r="F34" s="425"/>
      <c r="G34" s="420"/>
      <c r="H34" s="426" t="s">
        <v>23</v>
      </c>
      <c r="I34" s="427" t="s">
        <v>24</v>
      </c>
      <c r="J34" s="428" t="s">
        <v>4828</v>
      </c>
      <c r="K34" s="897"/>
      <c r="L34" s="433"/>
      <c r="M34" s="312"/>
      <c r="N34" s="313"/>
      <c r="O34" s="423"/>
      <c r="P34" s="58"/>
      <c r="Q34" s="58"/>
      <c r="R34" s="58"/>
      <c r="S34" s="58"/>
      <c r="T34" s="58"/>
    </row>
    <row r="35" spans="2:20" ht="13.7" customHeight="1" x14ac:dyDescent="0.2">
      <c r="C35" s="304"/>
      <c r="D35" s="21">
        <v>6.5</v>
      </c>
      <c r="E35" s="12"/>
      <c r="F35" s="31"/>
      <c r="G35" s="13"/>
      <c r="H35" s="305"/>
      <c r="I35" s="305"/>
      <c r="J35" s="305"/>
      <c r="K35" s="895"/>
      <c r="M35" s="307"/>
      <c r="N35" s="308"/>
      <c r="O35" s="4"/>
      <c r="P35" s="4"/>
      <c r="Q35" s="4"/>
      <c r="R35" s="4"/>
      <c r="S35" s="4"/>
      <c r="T35" s="4"/>
    </row>
    <row r="36" spans="2:20" ht="13.7" customHeight="1" x14ac:dyDescent="0.2">
      <c r="B36" s="197"/>
      <c r="C36" s="196"/>
      <c r="D36" s="4"/>
      <c r="E36" s="88"/>
      <c r="F36" s="26"/>
      <c r="G36" s="26"/>
      <c r="H36" s="26"/>
      <c r="I36" s="26"/>
      <c r="J36" s="27"/>
      <c r="K36" s="895"/>
      <c r="L36" s="26" t="s">
        <v>3370</v>
      </c>
      <c r="M36" s="323">
        <v>31</v>
      </c>
      <c r="N36" s="311">
        <v>31</v>
      </c>
      <c r="O36" s="101" t="s">
        <v>3892</v>
      </c>
      <c r="P36" s="4"/>
      <c r="Q36" s="4"/>
      <c r="R36" s="4"/>
      <c r="S36" s="4"/>
      <c r="T36" s="4"/>
    </row>
    <row r="37" spans="2:20" ht="13.7" customHeight="1" x14ac:dyDescent="0.2">
      <c r="C37" s="331" t="s">
        <v>3940</v>
      </c>
      <c r="D37" s="332"/>
      <c r="E37" s="332"/>
      <c r="F37" s="332"/>
      <c r="G37" s="332"/>
      <c r="H37" s="332"/>
      <c r="I37" s="332"/>
      <c r="J37" s="333"/>
      <c r="K37" s="895"/>
      <c r="M37" s="307"/>
      <c r="N37" s="308"/>
      <c r="R37" s="4"/>
      <c r="S37" s="4"/>
      <c r="T37" s="4"/>
    </row>
    <row r="38" spans="2:20" ht="29.25" customHeight="1" x14ac:dyDescent="0.2">
      <c r="C38" s="1935" t="str">
        <f>IF(OR(AND(M41&gt;42,M41&lt;57),AND(M45&gt;42,M45&lt;57)),HYPERLINK("#Due_org!f13","Bitte legen Sie, soweit vorhanden, im Registerblatt ''Due_org'' Ihren Dünger und die Nährstoffgehaltswerte gemäß Kennzeichnung an. Die hinterlegten Tabellenwerte können von Ihren tatsächlichen Werten erheblich abweichen."),"")</f>
        <v/>
      </c>
      <c r="D38" s="1936"/>
      <c r="E38" s="1936"/>
      <c r="F38" s="1936"/>
      <c r="G38" s="1936"/>
      <c r="H38" s="1936"/>
      <c r="I38" s="1936"/>
      <c r="J38" s="1937"/>
      <c r="K38" s="895"/>
      <c r="M38" s="307"/>
      <c r="N38" s="308"/>
      <c r="O38" s="4"/>
      <c r="P38" s="4"/>
      <c r="Q38" s="4"/>
      <c r="R38" s="4"/>
      <c r="S38" s="4"/>
      <c r="T38" s="4"/>
    </row>
    <row r="39" spans="2:20" ht="13.7" customHeight="1" x14ac:dyDescent="0.2">
      <c r="C39" s="14" t="s">
        <v>4330</v>
      </c>
      <c r="D39" s="4"/>
      <c r="E39" s="4"/>
      <c r="F39" s="4"/>
      <c r="G39" s="4"/>
      <c r="H39" s="4"/>
      <c r="I39" s="4"/>
      <c r="J39" s="10"/>
      <c r="K39" s="895"/>
      <c r="M39" s="307"/>
      <c r="N39" s="308"/>
      <c r="O39" s="4"/>
      <c r="P39" s="4"/>
      <c r="Q39" s="4"/>
      <c r="R39" s="4"/>
      <c r="S39" s="4"/>
      <c r="T39" s="4"/>
    </row>
    <row r="40" spans="2:20" s="59" customFormat="1" ht="13.7" customHeight="1" x14ac:dyDescent="0.2">
      <c r="C40" s="419" t="s">
        <v>4317</v>
      </c>
      <c r="D40" s="425"/>
      <c r="E40" s="425"/>
      <c r="F40" s="425"/>
      <c r="G40" s="425"/>
      <c r="H40" s="466" t="s">
        <v>4318</v>
      </c>
      <c r="I40" s="460"/>
      <c r="J40" s="468" t="s">
        <v>4714</v>
      </c>
      <c r="K40" s="897"/>
      <c r="L40" s="433"/>
      <c r="M40" s="312"/>
      <c r="N40" s="313"/>
      <c r="O40" s="423"/>
      <c r="P40" s="58"/>
      <c r="Q40" s="58"/>
      <c r="R40" s="58"/>
      <c r="S40" s="58"/>
      <c r="T40" s="58"/>
    </row>
    <row r="41" spans="2:20" ht="13.7" customHeight="1" x14ac:dyDescent="0.2">
      <c r="C41" s="12"/>
      <c r="D41" s="31"/>
      <c r="E41" s="31"/>
      <c r="F41" s="31"/>
      <c r="G41" s="31"/>
      <c r="H41" s="462"/>
      <c r="I41" s="12"/>
      <c r="J41" s="329"/>
      <c r="K41" s="895"/>
      <c r="L41" s="26" t="s">
        <v>3678</v>
      </c>
      <c r="M41" s="323">
        <v>1</v>
      </c>
      <c r="N41" s="311">
        <v>1</v>
      </c>
      <c r="O41" s="101" t="s">
        <v>3676</v>
      </c>
      <c r="P41" s="4"/>
      <c r="Q41" s="4"/>
      <c r="R41" s="4"/>
      <c r="S41" s="4"/>
      <c r="T41" s="4"/>
    </row>
    <row r="42" spans="2:20" ht="27" customHeight="1" x14ac:dyDescent="0.2">
      <c r="C42" s="1721" t="str">
        <f>IF(AND(NOT(M41=1),H41=""),"Düngemittel ausgewählt; Menge fehlt!","")</f>
        <v/>
      </c>
      <c r="D42" s="15"/>
      <c r="E42" s="15"/>
      <c r="F42" s="1958" t="str">
        <f>IF(OR(AND(M41=16,OR(J41&gt;0,Due_org!$R$27=1)),AND(M41=17,OR(J41&gt;0,Due_org!$R$28=1)),AND(M41=38,OR(J41&gt;0,Due_org!$R$49=1)),AND(M41=39,OR(J41&gt;0,Due_org!$R$50=1)),AND(M41=40,OR(J41&gt;0,Due_org!$R$51=1)),AND(M41=41,OR(J41&gt;0,Due_org!$R$52=1)),AND(M41=42,OR(J41&gt;0,Due_org!$R$53=1)),AND(M41=57,OR(J41&gt;0,Due_org!$R$68=1)),AND(M41=58,OR(J41&gt;0,Due_org!$R$69=1))),"",IF(OR(M41=16,M41=17,M41=38,M41=39,M41=40,M41=41,M41=42,M41=57,M41=58),IF(H41=0,"",HYPERLINK("#Due_org!f49"," Bitte für die Berechnung erforderlichen Analysewerte im 
Registerblatt Due_org oder unter ''Eigenanalyse'' eingeben!")),""))</f>
        <v/>
      </c>
      <c r="G42" s="1959"/>
      <c r="H42" s="1959"/>
      <c r="I42" s="1959"/>
      <c r="J42" s="1960"/>
      <c r="K42" s="895"/>
      <c r="M42" s="307"/>
      <c r="N42" s="308"/>
      <c r="O42" s="4"/>
      <c r="P42" s="4"/>
      <c r="Q42" s="4"/>
      <c r="R42" s="4"/>
      <c r="S42" s="4"/>
      <c r="T42" s="4"/>
    </row>
    <row r="43" spans="2:20" ht="13.7" customHeight="1" x14ac:dyDescent="0.2">
      <c r="C43" s="150" t="s">
        <v>4331</v>
      </c>
      <c r="D43" s="151"/>
      <c r="E43" s="8"/>
      <c r="F43" s="4"/>
      <c r="G43" s="4"/>
      <c r="H43" s="4"/>
      <c r="I43" s="4"/>
      <c r="J43" s="10"/>
      <c r="K43" s="895"/>
      <c r="M43" s="307"/>
      <c r="N43" s="308"/>
      <c r="O43" s="4"/>
      <c r="P43" s="4"/>
      <c r="Q43" s="4"/>
      <c r="R43" s="4"/>
      <c r="S43" s="4"/>
      <c r="T43" s="4"/>
    </row>
    <row r="44" spans="2:20" s="59" customFormat="1" ht="13.7" customHeight="1" x14ac:dyDescent="0.2">
      <c r="C44" s="419" t="s">
        <v>4317</v>
      </c>
      <c r="D44" s="425"/>
      <c r="E44" s="425"/>
      <c r="F44" s="420"/>
      <c r="G44" s="460"/>
      <c r="H44" s="461" t="s">
        <v>4318</v>
      </c>
      <c r="I44" s="460"/>
      <c r="J44" s="461" t="s">
        <v>4714</v>
      </c>
      <c r="K44" s="897"/>
      <c r="L44" s="433"/>
      <c r="M44" s="312"/>
      <c r="N44" s="313"/>
      <c r="O44" s="58"/>
      <c r="P44" s="58"/>
      <c r="Q44" s="58"/>
      <c r="R44" s="58"/>
      <c r="S44" s="58"/>
      <c r="T44" s="58"/>
    </row>
    <row r="45" spans="2:20" ht="13.7" customHeight="1" x14ac:dyDescent="0.2">
      <c r="C45" s="12"/>
      <c r="D45" s="31"/>
      <c r="E45" s="31"/>
      <c r="F45" s="31"/>
      <c r="G45" s="31"/>
      <c r="H45" s="462"/>
      <c r="I45" s="152"/>
      <c r="J45" s="328"/>
      <c r="K45" s="895"/>
      <c r="M45" s="323">
        <v>1</v>
      </c>
      <c r="N45" s="311">
        <v>1</v>
      </c>
      <c r="O45" s="101" t="s">
        <v>3683</v>
      </c>
      <c r="P45" s="4"/>
      <c r="Q45" s="4"/>
      <c r="R45" s="4"/>
      <c r="S45" s="4"/>
      <c r="T45" s="4"/>
    </row>
    <row r="46" spans="2:20" ht="27" customHeight="1" x14ac:dyDescent="0.2">
      <c r="C46" s="1722" t="str">
        <f>IF(AND(NOT(M45=1),H45=""),"Düngemittel ausgewählt; Menge fehlt!","")</f>
        <v/>
      </c>
      <c r="D46" s="4"/>
      <c r="E46" s="4"/>
      <c r="F46" s="1958" t="str">
        <f>IF(OR(AND(M45=16,OR(J45&gt;0,Due_org!$R$27=1)),AND(M45=17,OR(J45&gt;0,Due_org!$R$28=1)),AND(M45=38,OR(J45&gt;0,Due_org!$R$49=1)),AND(M45=39,OR(J45&gt;0,Due_org!$R$50=1)),AND(M45=40,OR(J45&gt;0,Due_org!$R$51=1)),AND(M45=41,OR(J45&gt;0,Due_org!$R$52=1)),AND(M45=42,OR(J45&gt;0,Due_org!$R$53=1)),AND(M45=57,OR(J45&gt;0,Due_org!$R$68=1)),AND(M45=58,OR(J45&gt;0,Due_org!$R$69=1))),"",IF(OR(M45=16,M45=17,M45=38,M45=39,M45=40,M45=41,M45=42,M45=57,M45=58),IF(H45=0,"",HYPERLINK("#Due_org!f49"," Bitte für die Berechnung erforderlichen Analysewerte im 
Registerblatt Due_org oder unter ''Eigenanalyse'' eingeben!")),""))</f>
        <v/>
      </c>
      <c r="G46" s="1959"/>
      <c r="H46" s="1959"/>
      <c r="I46" s="1959"/>
      <c r="J46" s="1960"/>
      <c r="K46" s="895"/>
      <c r="M46" s="1045"/>
      <c r="N46" s="1046"/>
      <c r="O46" s="101"/>
      <c r="P46" s="4"/>
      <c r="Q46" s="4"/>
      <c r="R46" s="4"/>
      <c r="S46" s="4"/>
      <c r="T46" s="4"/>
    </row>
    <row r="47" spans="2:20" ht="13.7" customHeight="1" x14ac:dyDescent="0.2">
      <c r="C47" s="1719" t="s">
        <v>4528</v>
      </c>
      <c r="D47" s="539"/>
      <c r="E47" s="425"/>
      <c r="F47" s="1720" t="str">
        <f>IF(J22="","Planjahr?","Frühjahr "&amp;$J$22-1)</f>
        <v>Planjahr?</v>
      </c>
      <c r="G47" s="424" t="str">
        <f>IF(J22="","",$J$22-2)</f>
        <v/>
      </c>
      <c r="H47" s="424" t="str">
        <f>IF(J22="","",$J$22-3)</f>
        <v/>
      </c>
      <c r="I47" s="425"/>
      <c r="J47" s="420"/>
      <c r="K47" s="895"/>
      <c r="M47" s="307"/>
      <c r="N47" s="308"/>
      <c r="P47" s="4"/>
      <c r="Q47" s="4"/>
      <c r="R47" s="4"/>
      <c r="S47" s="4"/>
      <c r="T47" s="4"/>
    </row>
    <row r="48" spans="2:20" ht="13.7" customHeight="1" x14ac:dyDescent="0.2">
      <c r="C48" s="419" t="s">
        <v>4317</v>
      </c>
      <c r="D48" s="425"/>
      <c r="E48" s="425"/>
      <c r="F48" s="419"/>
      <c r="G48" s="425"/>
      <c r="H48" s="1520" t="s">
        <v>4527</v>
      </c>
      <c r="I48" s="532"/>
      <c r="J48" s="461" t="s">
        <v>4715</v>
      </c>
      <c r="K48" s="895"/>
      <c r="M48" s="307"/>
      <c r="N48" s="308"/>
      <c r="P48" s="4"/>
      <c r="Q48" s="4"/>
      <c r="R48" s="4"/>
      <c r="S48" s="4"/>
      <c r="T48" s="4"/>
    </row>
    <row r="49" spans="3:20" ht="13.7" customHeight="1" x14ac:dyDescent="0.2">
      <c r="C49" s="419"/>
      <c r="D49" s="425"/>
      <c r="E49" s="425"/>
      <c r="F49" s="462"/>
      <c r="G49" s="462"/>
      <c r="H49" s="462"/>
      <c r="I49" s="509"/>
      <c r="J49" s="462"/>
      <c r="K49" s="895"/>
      <c r="L49" s="463" t="s">
        <v>4313</v>
      </c>
      <c r="M49" s="464">
        <v>4</v>
      </c>
      <c r="N49" s="465">
        <v>4</v>
      </c>
      <c r="O49" s="423" t="s">
        <v>3683</v>
      </c>
      <c r="P49" s="4"/>
      <c r="Q49" s="4"/>
      <c r="R49" s="4"/>
      <c r="S49" s="4"/>
      <c r="T49" s="4"/>
    </row>
    <row r="50" spans="3:20" x14ac:dyDescent="0.2">
      <c r="C50" s="904" t="str">
        <f>IF(AND(NOT(M49=4),OR(F49="",G49="",H49="",)),"Düngemittel ausgewählt; Menge fehlt - Null ist ggf. einzutragen!","")</f>
        <v/>
      </c>
      <c r="D50" s="4"/>
      <c r="E50" s="4"/>
      <c r="F50" s="4"/>
      <c r="G50" s="4"/>
      <c r="H50" s="4"/>
      <c r="I50" s="4"/>
      <c r="J50" s="10"/>
      <c r="K50" s="895"/>
      <c r="M50" s="307"/>
      <c r="N50" s="308"/>
      <c r="O50" s="4"/>
      <c r="P50" s="4"/>
      <c r="Q50" s="4"/>
      <c r="R50" s="4"/>
      <c r="S50" s="4"/>
      <c r="T50" s="4"/>
    </row>
    <row r="51" spans="3:20" ht="13.7" customHeight="1" x14ac:dyDescent="0.2">
      <c r="C51" s="331" t="s">
        <v>3574</v>
      </c>
      <c r="D51" s="429" t="s">
        <v>3948</v>
      </c>
      <c r="E51" s="332"/>
      <c r="F51" s="332"/>
      <c r="G51" s="332"/>
      <c r="H51" s="332"/>
      <c r="I51" s="332"/>
      <c r="J51" s="333"/>
      <c r="K51" s="895"/>
      <c r="M51" s="307"/>
      <c r="N51" s="308"/>
      <c r="O51" s="4"/>
      <c r="P51" s="4"/>
      <c r="Q51" s="4"/>
      <c r="R51" s="4"/>
      <c r="S51" s="4"/>
      <c r="T51" s="4"/>
    </row>
    <row r="52" spans="3:20" ht="13.7" customHeight="1" x14ac:dyDescent="0.2">
      <c r="C52" s="5"/>
      <c r="D52" s="4"/>
      <c r="E52" s="4"/>
      <c r="F52" s="4"/>
      <c r="G52" s="4"/>
      <c r="H52" s="4"/>
      <c r="I52" s="4"/>
      <c r="J52" s="10"/>
      <c r="K52" s="895"/>
      <c r="M52" s="307"/>
      <c r="N52" s="308"/>
      <c r="O52" s="4"/>
      <c r="P52" s="4"/>
      <c r="Q52" s="4"/>
      <c r="R52" s="4"/>
      <c r="S52" s="4"/>
      <c r="T52" s="4"/>
    </row>
    <row r="53" spans="3:20" ht="13.7" customHeight="1" x14ac:dyDescent="0.25">
      <c r="C53" s="22" t="s">
        <v>4322</v>
      </c>
      <c r="D53" s="18"/>
      <c r="E53" s="19"/>
      <c r="F53" s="10"/>
      <c r="H53" s="4"/>
      <c r="I53" s="4"/>
      <c r="J53" s="10"/>
      <c r="K53" s="895"/>
      <c r="L53" s="26" t="s">
        <v>3671</v>
      </c>
      <c r="M53" s="323">
        <v>1</v>
      </c>
      <c r="N53" s="311">
        <v>1</v>
      </c>
      <c r="O53" s="101" t="s">
        <v>3708</v>
      </c>
      <c r="P53" s="4"/>
      <c r="Q53" s="4"/>
      <c r="R53" s="142"/>
      <c r="S53" s="4"/>
      <c r="T53" s="4"/>
    </row>
    <row r="54" spans="3:20" s="59" customFormat="1" ht="13.7" customHeight="1" x14ac:dyDescent="0.2">
      <c r="C54" s="419" t="s">
        <v>19</v>
      </c>
      <c r="D54" s="467" t="s">
        <v>4274</v>
      </c>
      <c r="E54" s="425"/>
      <c r="F54" s="420"/>
      <c r="G54" s="467" t="s">
        <v>4323</v>
      </c>
      <c r="H54" s="425"/>
      <c r="I54" s="425"/>
      <c r="J54" s="420"/>
      <c r="K54" s="897"/>
      <c r="L54" s="433"/>
      <c r="M54" s="469"/>
      <c r="N54" s="470"/>
      <c r="O54" s="423"/>
      <c r="P54" s="58"/>
      <c r="Q54" s="58"/>
      <c r="R54" s="58"/>
      <c r="S54" s="58"/>
      <c r="T54" s="58"/>
    </row>
    <row r="55" spans="3:20" ht="13.7" customHeight="1" x14ac:dyDescent="0.2">
      <c r="C55" s="1523"/>
      <c r="D55" s="18"/>
      <c r="E55" s="1517"/>
      <c r="F55" s="1517"/>
      <c r="G55" s="1517"/>
      <c r="H55" s="1517"/>
      <c r="I55" s="1517"/>
      <c r="J55" s="1518"/>
      <c r="K55" s="895"/>
      <c r="M55" s="323">
        <v>1</v>
      </c>
      <c r="N55" s="311">
        <v>1</v>
      </c>
      <c r="O55" s="101" t="s">
        <v>3707</v>
      </c>
      <c r="P55" s="4"/>
      <c r="Q55" s="4"/>
      <c r="R55" s="4"/>
      <c r="S55" s="4"/>
      <c r="T55" s="4"/>
    </row>
    <row r="56" spans="3:20" ht="13.7" customHeight="1" x14ac:dyDescent="0.2">
      <c r="C56" s="5"/>
      <c r="D56" s="4"/>
      <c r="E56" s="4"/>
      <c r="F56" s="4"/>
      <c r="G56" s="4"/>
      <c r="H56" s="4"/>
      <c r="I56" s="4"/>
      <c r="J56" s="10"/>
      <c r="K56" s="895"/>
      <c r="M56" s="323">
        <v>1</v>
      </c>
      <c r="N56" s="311">
        <v>1</v>
      </c>
      <c r="O56" s="101" t="s">
        <v>4559</v>
      </c>
      <c r="P56" s="4"/>
      <c r="Q56" s="4"/>
      <c r="R56" s="4"/>
      <c r="S56" s="4"/>
      <c r="T56" s="4"/>
    </row>
    <row r="57" spans="3:20" ht="13.7" customHeight="1" x14ac:dyDescent="0.2">
      <c r="C57" s="331" t="s">
        <v>3579</v>
      </c>
      <c r="D57" s="332"/>
      <c r="E57" s="332"/>
      <c r="F57" s="332"/>
      <c r="G57" s="332"/>
      <c r="H57" s="332"/>
      <c r="I57" s="332"/>
      <c r="J57" s="333"/>
      <c r="K57" s="895"/>
      <c r="M57" s="307"/>
      <c r="N57" s="308"/>
      <c r="O57" s="4"/>
      <c r="P57" s="4"/>
    </row>
    <row r="58" spans="3:20" ht="13.7" customHeight="1" x14ac:dyDescent="0.2">
      <c r="C58" s="5"/>
      <c r="D58" s="4"/>
      <c r="E58" s="4"/>
      <c r="F58" s="4"/>
      <c r="G58" s="4"/>
      <c r="H58" s="4"/>
      <c r="I58" s="4"/>
      <c r="J58" s="10"/>
      <c r="K58" s="895"/>
      <c r="M58" s="307"/>
      <c r="N58" s="308"/>
      <c r="O58" s="4"/>
      <c r="P58" s="4"/>
    </row>
    <row r="59" spans="3:20" ht="13.7" customHeight="1" x14ac:dyDescent="0.2">
      <c r="C59" s="23"/>
      <c r="D59" s="24"/>
      <c r="E59" s="1"/>
      <c r="F59" s="2" t="s">
        <v>3580</v>
      </c>
      <c r="G59" s="24"/>
      <c r="H59" s="1961" t="s">
        <v>3582</v>
      </c>
      <c r="I59" s="1961"/>
      <c r="J59" s="1962"/>
      <c r="K59" s="895"/>
      <c r="M59" s="307"/>
      <c r="N59" s="308"/>
      <c r="O59" s="4"/>
      <c r="P59" s="4"/>
    </row>
    <row r="60" spans="3:20" ht="13.7" customHeight="1" x14ac:dyDescent="0.2">
      <c r="C60" s="91"/>
      <c r="D60" s="5"/>
      <c r="E60" s="4"/>
      <c r="F60" s="27" t="s">
        <v>3581</v>
      </c>
      <c r="G60" s="5"/>
      <c r="H60" s="1963" t="s">
        <v>4565</v>
      </c>
      <c r="I60" s="1963"/>
      <c r="J60" s="1964"/>
      <c r="K60" s="895"/>
      <c r="L60" s="26" t="s">
        <v>3689</v>
      </c>
      <c r="M60" s="323">
        <v>1</v>
      </c>
      <c r="N60" s="311">
        <v>1</v>
      </c>
      <c r="O60" s="4"/>
      <c r="P60" s="4"/>
    </row>
    <row r="61" spans="3:20" ht="13.7" customHeight="1" x14ac:dyDescent="0.2">
      <c r="C61" s="91" t="s">
        <v>3950</v>
      </c>
      <c r="D61" s="5"/>
      <c r="E61" s="4"/>
      <c r="F61" s="27" t="s">
        <v>3583</v>
      </c>
      <c r="G61" s="5"/>
      <c r="H61" s="1963" t="s">
        <v>3585</v>
      </c>
      <c r="I61" s="1963"/>
      <c r="J61" s="1964"/>
      <c r="K61" s="895"/>
      <c r="L61" s="26" t="s">
        <v>3690</v>
      </c>
      <c r="M61" s="323">
        <v>1</v>
      </c>
      <c r="N61" s="311">
        <v>1</v>
      </c>
      <c r="O61" s="4"/>
      <c r="P61" s="4"/>
      <c r="Q61" s="4"/>
      <c r="R61" s="4"/>
      <c r="S61" s="4"/>
      <c r="T61" s="4"/>
    </row>
    <row r="62" spans="3:20" ht="13.7" customHeight="1" x14ac:dyDescent="0.2">
      <c r="C62" s="91" t="s">
        <v>3949</v>
      </c>
      <c r="D62" s="100"/>
      <c r="E62" s="4"/>
      <c r="F62" s="27" t="s">
        <v>4728</v>
      </c>
      <c r="G62" s="5"/>
      <c r="H62" s="1963" t="s">
        <v>4729</v>
      </c>
      <c r="I62" s="1963"/>
      <c r="J62" s="1964"/>
      <c r="K62" s="895"/>
      <c r="L62" s="26" t="s">
        <v>3586</v>
      </c>
      <c r="M62" s="323">
        <v>1</v>
      </c>
      <c r="N62" s="311">
        <v>1</v>
      </c>
      <c r="O62" s="4" t="s">
        <v>4764</v>
      </c>
      <c r="P62" s="4"/>
      <c r="Q62" s="4"/>
      <c r="R62" s="4"/>
      <c r="S62" s="4"/>
      <c r="T62" s="4"/>
    </row>
    <row r="63" spans="3:20" ht="13.7" customHeight="1" x14ac:dyDescent="0.2">
      <c r="C63" s="89" t="s">
        <v>4727</v>
      </c>
      <c r="D63" s="5"/>
      <c r="E63" s="4"/>
      <c r="F63" s="177" t="s">
        <v>3642</v>
      </c>
      <c r="G63" s="5"/>
      <c r="H63" s="1963"/>
      <c r="I63" s="1963"/>
      <c r="J63" s="1964"/>
      <c r="K63" s="895"/>
      <c r="L63" s="26" t="s">
        <v>3691</v>
      </c>
      <c r="M63" s="323">
        <v>1</v>
      </c>
      <c r="N63" s="311">
        <v>1</v>
      </c>
      <c r="O63" s="4"/>
      <c r="P63" s="4"/>
      <c r="Q63" s="4"/>
      <c r="R63" s="4"/>
      <c r="S63" s="4"/>
      <c r="T63" s="4"/>
    </row>
    <row r="64" spans="3:20" ht="13.7" customHeight="1" thickBot="1" x14ac:dyDescent="0.25">
      <c r="C64" s="89"/>
      <c r="D64" s="7"/>
      <c r="E64" s="8"/>
      <c r="F64" s="9"/>
      <c r="G64" s="7"/>
      <c r="H64" s="1924"/>
      <c r="I64" s="1924"/>
      <c r="J64" s="1925"/>
      <c r="K64" s="895"/>
      <c r="M64" s="314"/>
      <c r="N64" s="315"/>
      <c r="O64" s="4"/>
      <c r="P64" s="4"/>
      <c r="Q64" s="4"/>
      <c r="R64" s="4"/>
      <c r="S64" s="4"/>
      <c r="T64" s="4"/>
    </row>
    <row r="65" spans="3:20" ht="13.7" customHeight="1" x14ac:dyDescent="0.2">
      <c r="C65" s="1"/>
      <c r="D65" s="1"/>
      <c r="E65" s="1"/>
      <c r="F65" s="1"/>
      <c r="G65" s="1"/>
      <c r="H65" s="1"/>
      <c r="I65" s="1"/>
      <c r="J65" s="1"/>
      <c r="P65" s="4"/>
      <c r="Q65" s="4"/>
      <c r="R65" s="4"/>
      <c r="S65" s="4"/>
      <c r="T65" s="4"/>
    </row>
    <row r="66" spans="3:20" ht="13.7" customHeight="1" x14ac:dyDescent="0.2">
      <c r="P66" s="4"/>
      <c r="Q66" s="4"/>
      <c r="R66" s="4"/>
      <c r="S66" s="4"/>
      <c r="T66" s="4"/>
    </row>
    <row r="67" spans="3:20" ht="13.7" customHeight="1" x14ac:dyDescent="0.2">
      <c r="P67" s="4"/>
      <c r="Q67" s="4"/>
      <c r="R67" s="4"/>
      <c r="S67" s="4"/>
      <c r="T67" s="4"/>
    </row>
    <row r="68" spans="3:20" ht="13.7" customHeight="1" x14ac:dyDescent="0.2">
      <c r="P68" s="4"/>
      <c r="Q68" s="4"/>
      <c r="R68" s="4"/>
      <c r="S68" s="4"/>
      <c r="T68" s="4"/>
    </row>
    <row r="69" spans="3:20" ht="13.7" customHeight="1" x14ac:dyDescent="0.2">
      <c r="P69" s="4"/>
      <c r="Q69" s="4"/>
      <c r="R69" s="4"/>
      <c r="S69" s="4"/>
      <c r="T69" s="4"/>
    </row>
    <row r="70" spans="3:20" x14ac:dyDescent="0.2">
      <c r="P70" s="4"/>
      <c r="Q70" s="4"/>
      <c r="R70" s="4"/>
      <c r="S70" s="4"/>
      <c r="T70" s="4"/>
    </row>
    <row r="71" spans="3:20" x14ac:dyDescent="0.2">
      <c r="P71" s="4"/>
      <c r="Q71" s="4"/>
      <c r="R71" s="4"/>
      <c r="S71" s="4"/>
      <c r="T71" s="4"/>
    </row>
    <row r="72" spans="3:20" x14ac:dyDescent="0.2">
      <c r="P72" s="4"/>
      <c r="Q72" s="4"/>
      <c r="R72" s="4"/>
      <c r="S72" s="4"/>
      <c r="T72" s="4"/>
    </row>
    <row r="73" spans="3:20" x14ac:dyDescent="0.2">
      <c r="P73" s="4"/>
      <c r="Q73" s="4"/>
      <c r="R73" s="4"/>
      <c r="S73" s="4"/>
      <c r="T73" s="4"/>
    </row>
    <row r="74" spans="3:20" x14ac:dyDescent="0.2">
      <c r="P74" s="4"/>
      <c r="Q74" s="4"/>
      <c r="R74" s="4"/>
      <c r="S74" s="4"/>
      <c r="T74" s="4"/>
    </row>
    <row r="75" spans="3:20" x14ac:dyDescent="0.2">
      <c r="P75" s="4"/>
      <c r="Q75" s="4"/>
      <c r="R75" s="4"/>
      <c r="S75" s="4"/>
      <c r="T75" s="4"/>
    </row>
    <row r="76" spans="3:20" x14ac:dyDescent="0.2">
      <c r="P76" s="4"/>
      <c r="Q76" s="4"/>
      <c r="R76" s="4"/>
      <c r="S76" s="4"/>
      <c r="T76" s="4"/>
    </row>
    <row r="77" spans="3:20" x14ac:dyDescent="0.2">
      <c r="P77" s="4"/>
      <c r="Q77" s="4"/>
      <c r="R77" s="4"/>
      <c r="S77" s="4"/>
      <c r="T77" s="4"/>
    </row>
    <row r="78" spans="3:20" x14ac:dyDescent="0.2">
      <c r="P78" s="4"/>
      <c r="Q78" s="4"/>
      <c r="R78" s="4"/>
      <c r="S78" s="4"/>
      <c r="T78" s="4"/>
    </row>
    <row r="79" spans="3:20" x14ac:dyDescent="0.2">
      <c r="P79" s="4"/>
      <c r="Q79" s="4"/>
      <c r="R79" s="4"/>
      <c r="S79" s="4"/>
      <c r="T79" s="4"/>
    </row>
    <row r="80" spans="3:20" x14ac:dyDescent="0.2">
      <c r="P80" s="4"/>
      <c r="Q80" s="4"/>
      <c r="R80" s="4"/>
      <c r="S80" s="4"/>
      <c r="T80" s="4"/>
    </row>
    <row r="81" spans="16:20" x14ac:dyDescent="0.2">
      <c r="P81" s="4"/>
      <c r="Q81" s="4"/>
      <c r="R81" s="4"/>
      <c r="S81" s="4"/>
      <c r="T81" s="4"/>
    </row>
    <row r="82" spans="16:20" x14ac:dyDescent="0.2">
      <c r="P82" s="4"/>
      <c r="Q82" s="4"/>
      <c r="R82" s="4"/>
      <c r="S82" s="4"/>
      <c r="T82" s="4"/>
    </row>
    <row r="83" spans="16:20" x14ac:dyDescent="0.2">
      <c r="P83" s="4"/>
      <c r="Q83" s="4"/>
      <c r="R83" s="4"/>
      <c r="S83" s="4"/>
      <c r="T83" s="4"/>
    </row>
    <row r="84" spans="16:20" x14ac:dyDescent="0.2">
      <c r="P84" s="4"/>
      <c r="Q84" s="4"/>
      <c r="R84" s="4"/>
      <c r="S84" s="4"/>
      <c r="T84" s="4"/>
    </row>
    <row r="85" spans="16:20" x14ac:dyDescent="0.2">
      <c r="P85" s="4"/>
      <c r="Q85" s="4"/>
      <c r="R85" s="4"/>
      <c r="S85" s="4"/>
      <c r="T85" s="4"/>
    </row>
    <row r="86" spans="16:20" x14ac:dyDescent="0.2">
      <c r="P86" s="4"/>
      <c r="Q86" s="4"/>
      <c r="R86" s="4"/>
      <c r="S86" s="4"/>
      <c r="T86" s="4"/>
    </row>
    <row r="87" spans="16:20" x14ac:dyDescent="0.2">
      <c r="P87" s="4"/>
      <c r="Q87" s="4"/>
      <c r="R87" s="4"/>
      <c r="S87" s="4"/>
      <c r="T87" s="4"/>
    </row>
    <row r="88" spans="16:20" x14ac:dyDescent="0.2">
      <c r="P88" s="4"/>
      <c r="Q88" s="4"/>
      <c r="R88" s="4"/>
      <c r="S88" s="4"/>
      <c r="T88" s="4"/>
    </row>
    <row r="89" spans="16:20" x14ac:dyDescent="0.2">
      <c r="P89" s="4"/>
      <c r="Q89" s="4"/>
      <c r="R89" s="4"/>
      <c r="S89" s="4"/>
      <c r="T89" s="4"/>
    </row>
    <row r="90" spans="16:20" x14ac:dyDescent="0.2">
      <c r="P90" s="4"/>
      <c r="Q90" s="4"/>
      <c r="R90" s="4"/>
      <c r="S90" s="4"/>
      <c r="T90" s="4"/>
    </row>
    <row r="91" spans="16:20" x14ac:dyDescent="0.2">
      <c r="P91" s="4"/>
      <c r="Q91" s="4"/>
      <c r="R91" s="4"/>
      <c r="S91" s="4"/>
      <c r="T91" s="4"/>
    </row>
    <row r="92" spans="16:20" x14ac:dyDescent="0.2">
      <c r="P92" s="4"/>
      <c r="Q92" s="4"/>
      <c r="R92" s="4"/>
      <c r="S92" s="4"/>
      <c r="T92" s="4"/>
    </row>
    <row r="93" spans="16:20" x14ac:dyDescent="0.2">
      <c r="P93" s="4"/>
      <c r="Q93" s="4"/>
      <c r="R93" s="4"/>
      <c r="S93" s="4"/>
      <c r="T93" s="4"/>
    </row>
    <row r="94" spans="16:20" x14ac:dyDescent="0.2">
      <c r="P94" s="4"/>
      <c r="Q94" s="4"/>
      <c r="R94" s="4"/>
      <c r="S94" s="4"/>
      <c r="T94" s="4"/>
    </row>
    <row r="95" spans="16:20" x14ac:dyDescent="0.2">
      <c r="P95" s="4"/>
      <c r="Q95" s="4"/>
      <c r="R95" s="4"/>
      <c r="S95" s="4"/>
      <c r="T95" s="4"/>
    </row>
    <row r="96" spans="16:20" x14ac:dyDescent="0.2">
      <c r="P96" s="4"/>
      <c r="Q96" s="4"/>
      <c r="R96" s="4"/>
      <c r="S96" s="4"/>
      <c r="T96" s="4"/>
    </row>
    <row r="97" spans="16:20" x14ac:dyDescent="0.2">
      <c r="P97" s="4"/>
      <c r="Q97" s="4"/>
      <c r="R97" s="4"/>
      <c r="S97" s="4"/>
      <c r="T97" s="4"/>
    </row>
    <row r="98" spans="16:20" x14ac:dyDescent="0.2">
      <c r="P98" s="4"/>
      <c r="Q98" s="4"/>
      <c r="R98" s="4"/>
      <c r="S98" s="4"/>
      <c r="T98" s="4"/>
    </row>
    <row r="99" spans="16:20" x14ac:dyDescent="0.2">
      <c r="P99" s="4"/>
      <c r="Q99" s="4"/>
      <c r="R99" s="4"/>
      <c r="S99" s="4"/>
      <c r="T99" s="4"/>
    </row>
    <row r="100" spans="16:20" x14ac:dyDescent="0.2">
      <c r="P100" s="4"/>
      <c r="Q100" s="4"/>
      <c r="R100" s="4"/>
      <c r="S100" s="4"/>
      <c r="T100" s="4"/>
    </row>
    <row r="101" spans="16:20" x14ac:dyDescent="0.2">
      <c r="P101" s="4"/>
      <c r="Q101" s="4"/>
      <c r="R101" s="4"/>
      <c r="S101" s="4"/>
      <c r="T101" s="4"/>
    </row>
    <row r="102" spans="16:20" x14ac:dyDescent="0.2">
      <c r="P102" s="4"/>
      <c r="Q102" s="4"/>
      <c r="R102" s="4"/>
      <c r="S102" s="4"/>
      <c r="T102" s="4"/>
    </row>
    <row r="103" spans="16:20" x14ac:dyDescent="0.2">
      <c r="P103" s="4"/>
      <c r="Q103" s="4"/>
      <c r="R103" s="4"/>
      <c r="S103" s="4"/>
      <c r="T103" s="4"/>
    </row>
    <row r="104" spans="16:20" x14ac:dyDescent="0.2">
      <c r="P104" s="4"/>
      <c r="Q104" s="4"/>
      <c r="R104" s="4"/>
      <c r="S104" s="4"/>
      <c r="T104" s="4"/>
    </row>
    <row r="105" spans="16:20" x14ac:dyDescent="0.2">
      <c r="P105" s="4"/>
      <c r="Q105" s="4"/>
      <c r="R105" s="4"/>
      <c r="S105" s="4"/>
      <c r="T105" s="4"/>
    </row>
    <row r="106" spans="16:20" x14ac:dyDescent="0.2">
      <c r="P106" s="4"/>
      <c r="Q106" s="4"/>
      <c r="R106" s="4"/>
      <c r="S106" s="4"/>
      <c r="T106" s="4"/>
    </row>
    <row r="107" spans="16:20" x14ac:dyDescent="0.2">
      <c r="P107" s="4"/>
      <c r="Q107" s="4"/>
      <c r="R107" s="4"/>
      <c r="S107" s="4"/>
      <c r="T107" s="4"/>
    </row>
    <row r="108" spans="16:20" x14ac:dyDescent="0.2">
      <c r="P108" s="4"/>
      <c r="Q108" s="4"/>
      <c r="R108" s="4"/>
      <c r="S108" s="4"/>
      <c r="T108" s="4"/>
    </row>
    <row r="109" spans="16:20" x14ac:dyDescent="0.2">
      <c r="P109" s="4"/>
      <c r="Q109" s="4"/>
      <c r="R109" s="4"/>
      <c r="S109" s="4"/>
      <c r="T109" s="4"/>
    </row>
    <row r="110" spans="16:20" x14ac:dyDescent="0.2">
      <c r="P110" s="4"/>
      <c r="Q110" s="4"/>
      <c r="R110" s="4"/>
      <c r="S110" s="4"/>
      <c r="T110" s="4"/>
    </row>
    <row r="111" spans="16:20" x14ac:dyDescent="0.2">
      <c r="P111" s="4"/>
      <c r="Q111" s="4"/>
      <c r="R111" s="4"/>
      <c r="S111" s="4"/>
      <c r="T111" s="4"/>
    </row>
    <row r="112" spans="16:20" x14ac:dyDescent="0.2">
      <c r="P112" s="4"/>
      <c r="Q112" s="4"/>
      <c r="R112" s="4"/>
      <c r="S112" s="4"/>
      <c r="T112" s="4"/>
    </row>
    <row r="113" spans="16:20" x14ac:dyDescent="0.2">
      <c r="P113" s="4"/>
      <c r="Q113" s="4"/>
      <c r="R113" s="4"/>
      <c r="S113" s="4"/>
      <c r="T113" s="4"/>
    </row>
    <row r="114" spans="16:20" x14ac:dyDescent="0.2">
      <c r="P114" s="4"/>
      <c r="Q114" s="4"/>
      <c r="R114" s="4"/>
      <c r="S114" s="4"/>
      <c r="T114" s="4"/>
    </row>
    <row r="115" spans="16:20" x14ac:dyDescent="0.2">
      <c r="P115" s="4"/>
      <c r="Q115" s="4"/>
      <c r="R115" s="4"/>
      <c r="S115" s="4"/>
      <c r="T115" s="4"/>
    </row>
    <row r="116" spans="16:20" x14ac:dyDescent="0.2">
      <c r="P116" s="4"/>
      <c r="Q116" s="4"/>
      <c r="R116" s="4"/>
      <c r="S116" s="4"/>
      <c r="T116" s="4"/>
    </row>
    <row r="117" spans="16:20" x14ac:dyDescent="0.2">
      <c r="P117" s="4"/>
      <c r="Q117" s="4"/>
      <c r="R117" s="4"/>
      <c r="S117" s="4"/>
      <c r="T117" s="4"/>
    </row>
    <row r="118" spans="16:20" x14ac:dyDescent="0.2">
      <c r="P118" s="4"/>
      <c r="Q118" s="4"/>
      <c r="R118" s="4"/>
      <c r="S118" s="4"/>
      <c r="T118" s="4"/>
    </row>
    <row r="119" spans="16:20" x14ac:dyDescent="0.2">
      <c r="P119" s="4"/>
      <c r="Q119" s="4"/>
      <c r="R119" s="4"/>
      <c r="S119" s="4"/>
      <c r="T119" s="4"/>
    </row>
    <row r="120" spans="16:20" x14ac:dyDescent="0.2">
      <c r="P120" s="4"/>
      <c r="Q120" s="4"/>
      <c r="R120" s="4"/>
      <c r="S120" s="4"/>
      <c r="T120" s="4"/>
    </row>
    <row r="121" spans="16:20" x14ac:dyDescent="0.2">
      <c r="P121" s="4"/>
      <c r="Q121" s="4"/>
      <c r="R121" s="4"/>
      <c r="S121" s="4"/>
      <c r="T121" s="4"/>
    </row>
    <row r="122" spans="16:20" x14ac:dyDescent="0.2">
      <c r="P122" s="4"/>
      <c r="Q122" s="4"/>
      <c r="R122" s="4"/>
      <c r="S122" s="4"/>
      <c r="T122" s="4"/>
    </row>
    <row r="123" spans="16:20" x14ac:dyDescent="0.2">
      <c r="P123" s="4"/>
      <c r="Q123" s="4"/>
      <c r="R123" s="4"/>
      <c r="S123" s="4"/>
      <c r="T123" s="4"/>
    </row>
    <row r="124" spans="16:20" x14ac:dyDescent="0.2">
      <c r="P124" s="4"/>
      <c r="Q124" s="4"/>
      <c r="R124" s="4"/>
      <c r="S124" s="4"/>
      <c r="T124" s="4"/>
    </row>
    <row r="125" spans="16:20" x14ac:dyDescent="0.2">
      <c r="P125" s="4"/>
      <c r="Q125" s="4"/>
      <c r="R125" s="4"/>
      <c r="S125" s="4"/>
      <c r="T125" s="4"/>
    </row>
    <row r="126" spans="16:20" x14ac:dyDescent="0.2">
      <c r="P126" s="4"/>
      <c r="Q126" s="4"/>
      <c r="R126" s="4"/>
      <c r="S126" s="4"/>
      <c r="T126" s="4"/>
    </row>
    <row r="127" spans="16:20" x14ac:dyDescent="0.2">
      <c r="P127" s="4"/>
      <c r="Q127" s="4"/>
      <c r="R127" s="4"/>
      <c r="S127" s="4"/>
      <c r="T127" s="4"/>
    </row>
    <row r="128" spans="16:20" x14ac:dyDescent="0.2">
      <c r="P128" s="4"/>
      <c r="Q128" s="4"/>
      <c r="R128" s="4"/>
      <c r="S128" s="4"/>
      <c r="T128" s="4"/>
    </row>
    <row r="129" spans="16:20" x14ac:dyDescent="0.2">
      <c r="P129" s="4"/>
      <c r="Q129" s="4"/>
      <c r="R129" s="4"/>
      <c r="S129" s="4"/>
      <c r="T129" s="4"/>
    </row>
    <row r="130" spans="16:20" x14ac:dyDescent="0.2">
      <c r="P130" s="4"/>
      <c r="Q130" s="4"/>
      <c r="R130" s="4"/>
      <c r="S130" s="4"/>
      <c r="T130" s="4"/>
    </row>
    <row r="131" spans="16:20" x14ac:dyDescent="0.2">
      <c r="P131" s="4"/>
      <c r="Q131" s="4"/>
      <c r="R131" s="4"/>
      <c r="S131" s="4"/>
      <c r="T131" s="4"/>
    </row>
    <row r="132" spans="16:20" x14ac:dyDescent="0.2">
      <c r="P132" s="4"/>
      <c r="Q132" s="4"/>
      <c r="R132" s="4"/>
      <c r="S132" s="4"/>
      <c r="T132" s="4"/>
    </row>
    <row r="133" spans="16:20" x14ac:dyDescent="0.2">
      <c r="P133" s="4"/>
      <c r="Q133" s="4"/>
      <c r="R133" s="4"/>
      <c r="S133" s="4"/>
      <c r="T133" s="4"/>
    </row>
    <row r="134" spans="16:20" x14ac:dyDescent="0.2">
      <c r="P134" s="4"/>
      <c r="Q134" s="4"/>
      <c r="R134" s="4"/>
      <c r="S134" s="4"/>
      <c r="T134" s="4"/>
    </row>
    <row r="135" spans="16:20" x14ac:dyDescent="0.2">
      <c r="P135" s="4"/>
      <c r="Q135" s="4"/>
      <c r="R135" s="4"/>
      <c r="S135" s="4"/>
      <c r="T135" s="4"/>
    </row>
    <row r="136" spans="16:20" x14ac:dyDescent="0.2">
      <c r="P136" s="4"/>
      <c r="Q136" s="4"/>
      <c r="R136" s="4"/>
      <c r="S136" s="4"/>
      <c r="T136" s="4"/>
    </row>
    <row r="137" spans="16:20" x14ac:dyDescent="0.2">
      <c r="P137" s="4"/>
      <c r="Q137" s="4"/>
      <c r="R137" s="4"/>
      <c r="S137" s="4"/>
      <c r="T137" s="4"/>
    </row>
    <row r="138" spans="16:20" x14ac:dyDescent="0.2">
      <c r="P138" s="4"/>
      <c r="Q138" s="4"/>
      <c r="R138" s="4"/>
      <c r="S138" s="4"/>
      <c r="T138" s="4"/>
    </row>
    <row r="139" spans="16:20" x14ac:dyDescent="0.2">
      <c r="P139" s="4"/>
      <c r="Q139" s="4"/>
      <c r="R139" s="4"/>
      <c r="S139" s="4"/>
      <c r="T139" s="4"/>
    </row>
    <row r="140" spans="16:20" x14ac:dyDescent="0.2">
      <c r="P140" s="4"/>
      <c r="Q140" s="4"/>
      <c r="R140" s="4"/>
      <c r="S140" s="4"/>
      <c r="T140" s="4"/>
    </row>
    <row r="141" spans="16:20" x14ac:dyDescent="0.2">
      <c r="P141" s="4"/>
      <c r="Q141" s="4"/>
      <c r="R141" s="4"/>
      <c r="S141" s="4"/>
      <c r="T141" s="4"/>
    </row>
    <row r="142" spans="16:20" x14ac:dyDescent="0.2">
      <c r="P142" s="4"/>
      <c r="Q142" s="4"/>
      <c r="R142" s="4"/>
      <c r="S142" s="4"/>
      <c r="T142" s="4"/>
    </row>
    <row r="143" spans="16:20" x14ac:dyDescent="0.2">
      <c r="P143" s="4"/>
      <c r="Q143" s="4"/>
      <c r="R143" s="4"/>
      <c r="S143" s="4"/>
      <c r="T143" s="4"/>
    </row>
    <row r="144" spans="16:20" x14ac:dyDescent="0.2">
      <c r="P144" s="4"/>
      <c r="Q144" s="4"/>
      <c r="R144" s="4"/>
      <c r="S144" s="4"/>
      <c r="T144" s="4"/>
    </row>
    <row r="145" spans="16:20" x14ac:dyDescent="0.2">
      <c r="P145" s="4"/>
      <c r="Q145" s="4"/>
      <c r="R145" s="4"/>
      <c r="S145" s="4"/>
      <c r="T145" s="4"/>
    </row>
    <row r="146" spans="16:20" x14ac:dyDescent="0.2">
      <c r="P146" s="4"/>
      <c r="Q146" s="4"/>
      <c r="R146" s="4"/>
      <c r="S146" s="4"/>
      <c r="T146" s="4"/>
    </row>
    <row r="147" spans="16:20" x14ac:dyDescent="0.2">
      <c r="P147" s="4"/>
      <c r="Q147" s="4"/>
      <c r="R147" s="4"/>
      <c r="S147" s="4"/>
      <c r="T147" s="4"/>
    </row>
    <row r="148" spans="16:20" x14ac:dyDescent="0.2">
      <c r="P148" s="4"/>
      <c r="Q148" s="4"/>
      <c r="R148" s="4"/>
      <c r="S148" s="4"/>
      <c r="T148" s="4"/>
    </row>
    <row r="149" spans="16:20" x14ac:dyDescent="0.2">
      <c r="P149" s="4"/>
      <c r="Q149" s="4"/>
      <c r="R149" s="4"/>
      <c r="S149" s="4"/>
      <c r="T149" s="4"/>
    </row>
    <row r="150" spans="16:20" x14ac:dyDescent="0.2">
      <c r="P150" s="4"/>
      <c r="Q150" s="4"/>
      <c r="R150" s="4"/>
      <c r="S150" s="4"/>
      <c r="T150" s="4"/>
    </row>
    <row r="151" spans="16:20" x14ac:dyDescent="0.2">
      <c r="P151" s="4"/>
      <c r="Q151" s="4"/>
      <c r="R151" s="4"/>
      <c r="S151" s="4"/>
      <c r="T151" s="4"/>
    </row>
    <row r="152" spans="16:20" x14ac:dyDescent="0.2">
      <c r="P152" s="4"/>
      <c r="Q152" s="4"/>
      <c r="R152" s="4"/>
      <c r="S152" s="4"/>
      <c r="T152" s="4"/>
    </row>
    <row r="153" spans="16:20" x14ac:dyDescent="0.2">
      <c r="P153" s="4"/>
      <c r="Q153" s="4"/>
      <c r="R153" s="4"/>
      <c r="S153" s="4"/>
      <c r="T153" s="4"/>
    </row>
    <row r="154" spans="16:20" x14ac:dyDescent="0.2">
      <c r="P154" s="4"/>
      <c r="Q154" s="4"/>
      <c r="R154" s="4"/>
      <c r="S154" s="4"/>
      <c r="T154" s="4"/>
    </row>
    <row r="155" spans="16:20" x14ac:dyDescent="0.2">
      <c r="P155" s="4"/>
      <c r="Q155" s="4"/>
      <c r="R155" s="4"/>
      <c r="S155" s="4"/>
      <c r="T155" s="4"/>
    </row>
    <row r="156" spans="16:20" x14ac:dyDescent="0.2">
      <c r="P156" s="4"/>
      <c r="Q156" s="4"/>
      <c r="R156" s="4"/>
      <c r="S156" s="4"/>
      <c r="T156" s="4"/>
    </row>
    <row r="157" spans="16:20" x14ac:dyDescent="0.2">
      <c r="P157" s="4"/>
      <c r="Q157" s="4"/>
      <c r="R157" s="4"/>
      <c r="S157" s="4"/>
      <c r="T157" s="4"/>
    </row>
    <row r="158" spans="16:20" x14ac:dyDescent="0.2">
      <c r="P158" s="4"/>
      <c r="Q158" s="4"/>
      <c r="R158" s="4"/>
      <c r="S158" s="4"/>
      <c r="T158" s="4"/>
    </row>
    <row r="159" spans="16:20" x14ac:dyDescent="0.2">
      <c r="P159" s="4"/>
      <c r="Q159" s="4"/>
      <c r="R159" s="4"/>
      <c r="S159" s="4"/>
      <c r="T159" s="4"/>
    </row>
    <row r="160" spans="16:20" x14ac:dyDescent="0.2">
      <c r="P160" s="4"/>
      <c r="Q160" s="4"/>
      <c r="R160" s="4"/>
      <c r="S160" s="4"/>
      <c r="T160" s="4"/>
    </row>
    <row r="161" spans="16:20" x14ac:dyDescent="0.2">
      <c r="P161" s="4"/>
      <c r="Q161" s="4"/>
      <c r="R161" s="4"/>
      <c r="S161" s="4"/>
      <c r="T161" s="4"/>
    </row>
    <row r="162" spans="16:20" x14ac:dyDescent="0.2">
      <c r="P162" s="4"/>
      <c r="Q162" s="4"/>
      <c r="R162" s="4"/>
      <c r="S162" s="4"/>
      <c r="T162" s="4"/>
    </row>
    <row r="163" spans="16:20" x14ac:dyDescent="0.2">
      <c r="P163" s="4"/>
      <c r="Q163" s="4"/>
      <c r="R163" s="4"/>
      <c r="S163" s="4"/>
      <c r="T163" s="4"/>
    </row>
    <row r="164" spans="16:20" x14ac:dyDescent="0.2">
      <c r="P164" s="4"/>
      <c r="Q164" s="4"/>
      <c r="R164" s="4"/>
      <c r="S164" s="4"/>
      <c r="T164" s="4"/>
    </row>
    <row r="165" spans="16:20" x14ac:dyDescent="0.2">
      <c r="P165" s="4"/>
      <c r="Q165" s="4"/>
      <c r="R165" s="4"/>
      <c r="S165" s="4"/>
      <c r="T165" s="4"/>
    </row>
    <row r="166" spans="16:20" x14ac:dyDescent="0.2">
      <c r="P166" s="4"/>
      <c r="Q166" s="4"/>
      <c r="R166" s="4"/>
      <c r="S166" s="4"/>
      <c r="T166" s="4"/>
    </row>
    <row r="167" spans="16:20" x14ac:dyDescent="0.2">
      <c r="P167" s="4"/>
      <c r="Q167" s="4"/>
      <c r="R167" s="4"/>
      <c r="S167" s="4"/>
      <c r="T167" s="4"/>
    </row>
    <row r="168" spans="16:20" x14ac:dyDescent="0.2">
      <c r="P168" s="4"/>
      <c r="Q168" s="4"/>
      <c r="R168" s="4"/>
      <c r="S168" s="4"/>
      <c r="T168" s="4"/>
    </row>
    <row r="169" spans="16:20" x14ac:dyDescent="0.2">
      <c r="P169" s="4"/>
      <c r="Q169" s="4"/>
      <c r="R169" s="4"/>
      <c r="S169" s="4"/>
      <c r="T169" s="4"/>
    </row>
    <row r="170" spans="16:20" x14ac:dyDescent="0.2">
      <c r="P170" s="4"/>
      <c r="Q170" s="4"/>
      <c r="R170" s="4"/>
      <c r="S170" s="4"/>
      <c r="T170" s="4"/>
    </row>
    <row r="171" spans="16:20" x14ac:dyDescent="0.2">
      <c r="P171" s="4"/>
      <c r="Q171" s="4"/>
      <c r="R171" s="4"/>
      <c r="S171" s="4"/>
      <c r="T171" s="4"/>
    </row>
    <row r="172" spans="16:20" x14ac:dyDescent="0.2">
      <c r="P172" s="4"/>
      <c r="Q172" s="4"/>
      <c r="R172" s="4"/>
      <c r="S172" s="4"/>
      <c r="T172" s="4"/>
    </row>
    <row r="173" spans="16:20" x14ac:dyDescent="0.2">
      <c r="P173" s="4"/>
      <c r="Q173" s="4"/>
      <c r="R173" s="4"/>
      <c r="S173" s="4"/>
      <c r="T173" s="4"/>
    </row>
    <row r="174" spans="16:20" x14ac:dyDescent="0.2">
      <c r="P174" s="4"/>
      <c r="Q174" s="4"/>
      <c r="R174" s="4"/>
      <c r="S174" s="4"/>
      <c r="T174" s="4"/>
    </row>
    <row r="175" spans="16:20" x14ac:dyDescent="0.2">
      <c r="P175" s="4"/>
      <c r="Q175" s="4"/>
      <c r="R175" s="4"/>
      <c r="S175" s="4"/>
      <c r="T175" s="4"/>
    </row>
    <row r="176" spans="16:20" x14ac:dyDescent="0.2">
      <c r="P176" s="4"/>
      <c r="Q176" s="4"/>
      <c r="R176" s="4"/>
      <c r="S176" s="4"/>
      <c r="T176" s="4"/>
    </row>
    <row r="177" spans="16:20" x14ac:dyDescent="0.2">
      <c r="P177" s="4"/>
      <c r="Q177" s="4"/>
      <c r="R177" s="4"/>
      <c r="S177" s="4"/>
      <c r="T177" s="4"/>
    </row>
    <row r="178" spans="16:20" x14ac:dyDescent="0.2">
      <c r="P178" s="4"/>
      <c r="Q178" s="4"/>
      <c r="R178" s="4"/>
      <c r="S178" s="4"/>
      <c r="T178" s="4"/>
    </row>
    <row r="179" spans="16:20" x14ac:dyDescent="0.2">
      <c r="P179" s="4"/>
      <c r="Q179" s="4"/>
      <c r="R179" s="4"/>
      <c r="S179" s="4"/>
      <c r="T179" s="4"/>
    </row>
    <row r="180" spans="16:20" x14ac:dyDescent="0.2">
      <c r="P180" s="4"/>
      <c r="Q180" s="4"/>
      <c r="R180" s="4"/>
      <c r="S180" s="4"/>
      <c r="T180" s="4"/>
    </row>
    <row r="181" spans="16:20" x14ac:dyDescent="0.2">
      <c r="P181" s="4"/>
      <c r="Q181" s="4"/>
      <c r="R181" s="4"/>
      <c r="S181" s="4"/>
      <c r="T181" s="4"/>
    </row>
    <row r="182" spans="16:20" x14ac:dyDescent="0.2">
      <c r="P182" s="4"/>
      <c r="Q182" s="4"/>
      <c r="R182" s="4"/>
      <c r="S182" s="4"/>
      <c r="T182" s="4"/>
    </row>
    <row r="183" spans="16:20" x14ac:dyDescent="0.2">
      <c r="P183" s="4"/>
      <c r="Q183" s="4"/>
      <c r="R183" s="4"/>
      <c r="S183" s="4"/>
      <c r="T183" s="4"/>
    </row>
    <row r="184" spans="16:20" x14ac:dyDescent="0.2">
      <c r="P184" s="4"/>
      <c r="Q184" s="4"/>
      <c r="R184" s="4"/>
      <c r="S184" s="4"/>
      <c r="T184" s="4"/>
    </row>
    <row r="185" spans="16:20" x14ac:dyDescent="0.2">
      <c r="P185" s="4"/>
      <c r="Q185" s="4"/>
      <c r="R185" s="4"/>
      <c r="S185" s="4"/>
      <c r="T185" s="4"/>
    </row>
    <row r="186" spans="16:20" x14ac:dyDescent="0.2">
      <c r="P186" s="4"/>
      <c r="Q186" s="4"/>
      <c r="R186" s="4"/>
      <c r="S186" s="4"/>
      <c r="T186" s="4"/>
    </row>
    <row r="187" spans="16:20" x14ac:dyDescent="0.2">
      <c r="P187" s="4"/>
      <c r="Q187" s="4"/>
      <c r="R187" s="4"/>
      <c r="S187" s="4"/>
      <c r="T187" s="4"/>
    </row>
    <row r="188" spans="16:20" x14ac:dyDescent="0.2">
      <c r="P188" s="4"/>
      <c r="Q188" s="4"/>
      <c r="R188" s="4"/>
      <c r="S188" s="4"/>
      <c r="T188" s="4"/>
    </row>
    <row r="189" spans="16:20" x14ac:dyDescent="0.2">
      <c r="P189" s="4"/>
      <c r="Q189" s="4"/>
      <c r="R189" s="4"/>
      <c r="S189" s="4"/>
      <c r="T189" s="4"/>
    </row>
    <row r="190" spans="16:20" x14ac:dyDescent="0.2">
      <c r="P190" s="4"/>
      <c r="Q190" s="4"/>
      <c r="R190" s="4"/>
      <c r="S190" s="4"/>
      <c r="T190" s="4"/>
    </row>
    <row r="191" spans="16:20" x14ac:dyDescent="0.2">
      <c r="P191" s="4"/>
      <c r="Q191" s="4"/>
      <c r="R191" s="4"/>
      <c r="S191" s="4"/>
      <c r="T191" s="4"/>
    </row>
    <row r="192" spans="16:20" x14ac:dyDescent="0.2">
      <c r="P192" s="4"/>
      <c r="Q192" s="4"/>
      <c r="R192" s="4"/>
      <c r="S192" s="4"/>
      <c r="T192" s="4"/>
    </row>
    <row r="193" spans="16:20" x14ac:dyDescent="0.2">
      <c r="P193" s="4"/>
      <c r="Q193" s="4"/>
      <c r="R193" s="4"/>
      <c r="S193" s="4"/>
      <c r="T193" s="4"/>
    </row>
    <row r="194" spans="16:20" x14ac:dyDescent="0.2">
      <c r="P194" s="4"/>
      <c r="Q194" s="4"/>
      <c r="R194" s="4"/>
      <c r="S194" s="4"/>
      <c r="T194" s="4"/>
    </row>
    <row r="195" spans="16:20" x14ac:dyDescent="0.2">
      <c r="P195" s="4"/>
      <c r="Q195" s="4"/>
      <c r="R195" s="4"/>
      <c r="S195" s="4"/>
      <c r="T195" s="4"/>
    </row>
    <row r="196" spans="16:20" x14ac:dyDescent="0.2">
      <c r="P196" s="4"/>
      <c r="Q196" s="4"/>
      <c r="R196" s="4"/>
      <c r="S196" s="4"/>
      <c r="T196" s="4"/>
    </row>
    <row r="197" spans="16:20" x14ac:dyDescent="0.2">
      <c r="P197" s="4"/>
      <c r="Q197" s="4"/>
      <c r="R197" s="4"/>
      <c r="S197" s="4"/>
      <c r="T197" s="4"/>
    </row>
    <row r="198" spans="16:20" x14ac:dyDescent="0.2">
      <c r="P198" s="4"/>
      <c r="Q198" s="4"/>
      <c r="R198" s="4"/>
      <c r="S198" s="4"/>
      <c r="T198" s="4"/>
    </row>
    <row r="199" spans="16:20" x14ac:dyDescent="0.2">
      <c r="P199" s="4"/>
      <c r="Q199" s="4"/>
      <c r="R199" s="4"/>
      <c r="S199" s="4"/>
      <c r="T199" s="4"/>
    </row>
    <row r="200" spans="16:20" x14ac:dyDescent="0.2">
      <c r="P200" s="4"/>
      <c r="Q200" s="4"/>
      <c r="R200" s="4"/>
      <c r="S200" s="4"/>
      <c r="T200" s="4"/>
    </row>
    <row r="201" spans="16:20" x14ac:dyDescent="0.2">
      <c r="P201" s="4"/>
      <c r="Q201" s="4"/>
      <c r="R201" s="4"/>
      <c r="S201" s="4"/>
      <c r="T201" s="4"/>
    </row>
    <row r="202" spans="16:20" x14ac:dyDescent="0.2">
      <c r="P202" s="4"/>
      <c r="Q202" s="4"/>
      <c r="R202" s="4"/>
      <c r="S202" s="4"/>
      <c r="T202" s="4"/>
    </row>
    <row r="203" spans="16:20" x14ac:dyDescent="0.2">
      <c r="P203" s="4"/>
      <c r="Q203" s="4"/>
      <c r="R203" s="4"/>
      <c r="S203" s="4"/>
      <c r="T203" s="4"/>
    </row>
    <row r="204" spans="16:20" x14ac:dyDescent="0.2">
      <c r="P204" s="4"/>
      <c r="Q204" s="4"/>
      <c r="R204" s="4"/>
      <c r="S204" s="4"/>
      <c r="T204" s="4"/>
    </row>
    <row r="205" spans="16:20" x14ac:dyDescent="0.2">
      <c r="P205" s="4"/>
      <c r="Q205" s="4"/>
      <c r="R205" s="4"/>
      <c r="S205" s="4"/>
      <c r="T205" s="4"/>
    </row>
    <row r="206" spans="16:20" x14ac:dyDescent="0.2">
      <c r="P206" s="4"/>
      <c r="Q206" s="4"/>
      <c r="R206" s="4"/>
      <c r="S206" s="4"/>
      <c r="T206" s="4"/>
    </row>
    <row r="207" spans="16:20" x14ac:dyDescent="0.2">
      <c r="P207" s="4"/>
      <c r="Q207" s="4"/>
      <c r="R207" s="4"/>
      <c r="S207" s="4"/>
      <c r="T207" s="4"/>
    </row>
    <row r="208" spans="16:20" x14ac:dyDescent="0.2">
      <c r="P208" s="4"/>
      <c r="Q208" s="4"/>
      <c r="R208" s="4"/>
      <c r="S208" s="4"/>
      <c r="T208" s="4"/>
    </row>
    <row r="209" spans="16:20" x14ac:dyDescent="0.2">
      <c r="P209" s="4"/>
      <c r="Q209" s="4"/>
      <c r="R209" s="4"/>
      <c r="S209" s="4"/>
      <c r="T209" s="4"/>
    </row>
    <row r="210" spans="16:20" x14ac:dyDescent="0.2">
      <c r="P210" s="4"/>
      <c r="Q210" s="4"/>
      <c r="R210" s="4"/>
      <c r="S210" s="4"/>
      <c r="T210" s="4"/>
    </row>
    <row r="211" spans="16:20" x14ac:dyDescent="0.2">
      <c r="P211" s="4"/>
      <c r="Q211" s="4"/>
      <c r="R211" s="4"/>
      <c r="S211" s="4"/>
      <c r="T211" s="4"/>
    </row>
    <row r="212" spans="16:20" x14ac:dyDescent="0.2">
      <c r="P212" s="4"/>
      <c r="Q212" s="4"/>
      <c r="R212" s="4"/>
      <c r="S212" s="4"/>
      <c r="T212" s="4"/>
    </row>
    <row r="213" spans="16:20" x14ac:dyDescent="0.2">
      <c r="P213" s="4"/>
      <c r="Q213" s="4"/>
      <c r="R213" s="4"/>
      <c r="S213" s="4"/>
      <c r="T213" s="4"/>
    </row>
    <row r="214" spans="16:20" x14ac:dyDescent="0.2">
      <c r="P214" s="4"/>
      <c r="Q214" s="4"/>
      <c r="R214" s="4"/>
      <c r="S214" s="4"/>
      <c r="T214" s="4"/>
    </row>
    <row r="215" spans="16:20" x14ac:dyDescent="0.2">
      <c r="P215" s="4"/>
      <c r="Q215" s="4"/>
      <c r="R215" s="4"/>
      <c r="S215" s="4"/>
      <c r="T215" s="4"/>
    </row>
    <row r="216" spans="16:20" x14ac:dyDescent="0.2">
      <c r="P216" s="4"/>
      <c r="Q216" s="4"/>
      <c r="R216" s="4"/>
      <c r="S216" s="4"/>
      <c r="T216" s="4"/>
    </row>
    <row r="217" spans="16:20" x14ac:dyDescent="0.2">
      <c r="P217" s="4"/>
      <c r="Q217" s="4"/>
      <c r="R217" s="4"/>
      <c r="S217" s="4"/>
      <c r="T217" s="4"/>
    </row>
    <row r="218" spans="16:20" x14ac:dyDescent="0.2">
      <c r="P218" s="4"/>
      <c r="Q218" s="4"/>
      <c r="R218" s="4"/>
      <c r="S218" s="4"/>
      <c r="T218" s="4"/>
    </row>
    <row r="219" spans="16:20" x14ac:dyDescent="0.2">
      <c r="P219" s="4"/>
      <c r="Q219" s="4"/>
      <c r="R219" s="4"/>
      <c r="S219" s="4"/>
      <c r="T219" s="4"/>
    </row>
    <row r="220" spans="16:20" x14ac:dyDescent="0.2">
      <c r="P220" s="4"/>
      <c r="Q220" s="4"/>
      <c r="R220" s="4"/>
      <c r="S220" s="4"/>
      <c r="T220" s="4"/>
    </row>
    <row r="221" spans="16:20" x14ac:dyDescent="0.2">
      <c r="P221" s="4"/>
      <c r="Q221" s="4"/>
      <c r="R221" s="4"/>
      <c r="S221" s="4"/>
      <c r="T221" s="4"/>
    </row>
    <row r="222" spans="16:20" x14ac:dyDescent="0.2">
      <c r="P222" s="4"/>
      <c r="Q222" s="4"/>
      <c r="R222" s="4"/>
      <c r="S222" s="4"/>
      <c r="T222" s="4"/>
    </row>
    <row r="223" spans="16:20" x14ac:dyDescent="0.2">
      <c r="P223" s="4"/>
      <c r="Q223" s="4"/>
      <c r="R223" s="4"/>
      <c r="S223" s="4"/>
      <c r="T223" s="4"/>
    </row>
    <row r="224" spans="16:20" x14ac:dyDescent="0.2">
      <c r="P224" s="4"/>
      <c r="Q224" s="4"/>
      <c r="R224" s="4"/>
      <c r="S224" s="4"/>
      <c r="T224" s="4"/>
    </row>
    <row r="225" spans="16:20" x14ac:dyDescent="0.2">
      <c r="P225" s="4"/>
      <c r="Q225" s="4"/>
      <c r="R225" s="4"/>
      <c r="S225" s="4"/>
      <c r="T225" s="4"/>
    </row>
    <row r="226" spans="16:20" x14ac:dyDescent="0.2">
      <c r="P226" s="4"/>
      <c r="Q226" s="4"/>
      <c r="R226" s="4"/>
      <c r="S226" s="4"/>
      <c r="T226" s="4"/>
    </row>
    <row r="227" spans="16:20" x14ac:dyDescent="0.2">
      <c r="P227" s="4"/>
      <c r="Q227" s="4"/>
      <c r="R227" s="4"/>
      <c r="S227" s="4"/>
      <c r="T227" s="4"/>
    </row>
    <row r="228" spans="16:20" x14ac:dyDescent="0.2">
      <c r="P228" s="4"/>
      <c r="Q228" s="4"/>
      <c r="R228" s="4"/>
      <c r="S228" s="4"/>
      <c r="T228" s="4"/>
    </row>
    <row r="229" spans="16:20" x14ac:dyDescent="0.2">
      <c r="P229" s="4"/>
      <c r="Q229" s="4"/>
      <c r="R229" s="4"/>
      <c r="S229" s="4"/>
      <c r="T229" s="4"/>
    </row>
    <row r="230" spans="16:20" x14ac:dyDescent="0.2">
      <c r="P230" s="4"/>
      <c r="Q230" s="4"/>
      <c r="R230" s="4"/>
      <c r="S230" s="4"/>
      <c r="T230" s="4"/>
    </row>
    <row r="231" spans="16:20" x14ac:dyDescent="0.2">
      <c r="P231" s="4"/>
      <c r="Q231" s="4"/>
      <c r="R231" s="4"/>
      <c r="S231" s="4"/>
      <c r="T231" s="4"/>
    </row>
    <row r="232" spans="16:20" x14ac:dyDescent="0.2">
      <c r="P232" s="4"/>
      <c r="Q232" s="4"/>
      <c r="R232" s="4"/>
      <c r="S232" s="4"/>
      <c r="T232" s="4"/>
    </row>
    <row r="233" spans="16:20" x14ac:dyDescent="0.2">
      <c r="P233" s="4"/>
      <c r="Q233" s="4"/>
      <c r="R233" s="4"/>
      <c r="S233" s="4"/>
      <c r="T233" s="4"/>
    </row>
    <row r="234" spans="16:20" x14ac:dyDescent="0.2">
      <c r="P234" s="4"/>
      <c r="Q234" s="4"/>
      <c r="R234" s="4"/>
      <c r="S234" s="4"/>
      <c r="T234" s="4"/>
    </row>
    <row r="235" spans="16:20" x14ac:dyDescent="0.2">
      <c r="P235" s="4"/>
      <c r="Q235" s="4"/>
      <c r="R235" s="4"/>
      <c r="S235" s="4"/>
      <c r="T235" s="4"/>
    </row>
    <row r="236" spans="16:20" x14ac:dyDescent="0.2">
      <c r="P236" s="4"/>
      <c r="Q236" s="4"/>
      <c r="R236" s="4"/>
      <c r="S236" s="4"/>
      <c r="T236" s="4"/>
    </row>
    <row r="237" spans="16:20" x14ac:dyDescent="0.2">
      <c r="P237" s="4"/>
      <c r="Q237" s="4"/>
      <c r="R237" s="4"/>
      <c r="S237" s="4"/>
      <c r="T237" s="4"/>
    </row>
    <row r="238" spans="16:20" x14ac:dyDescent="0.2">
      <c r="P238" s="4"/>
      <c r="Q238" s="4"/>
      <c r="R238" s="4"/>
      <c r="S238" s="4"/>
      <c r="T238" s="4"/>
    </row>
    <row r="239" spans="16:20" x14ac:dyDescent="0.2">
      <c r="P239" s="4"/>
      <c r="Q239" s="4"/>
      <c r="R239" s="4"/>
      <c r="S239" s="4"/>
      <c r="T239" s="4"/>
    </row>
    <row r="240" spans="16:20" x14ac:dyDescent="0.2">
      <c r="P240" s="4"/>
      <c r="Q240" s="4"/>
      <c r="R240" s="4"/>
      <c r="S240" s="4"/>
      <c r="T240" s="4"/>
    </row>
    <row r="241" spans="16:20" x14ac:dyDescent="0.2">
      <c r="P241" s="4"/>
      <c r="Q241" s="4"/>
      <c r="R241" s="4"/>
      <c r="S241" s="4"/>
      <c r="T241" s="4"/>
    </row>
    <row r="242" spans="16:20" x14ac:dyDescent="0.2">
      <c r="P242" s="4"/>
      <c r="Q242" s="4"/>
      <c r="R242" s="4"/>
      <c r="S242" s="4"/>
      <c r="T242" s="4"/>
    </row>
    <row r="243" spans="16:20" x14ac:dyDescent="0.2">
      <c r="P243" s="4"/>
      <c r="Q243" s="4"/>
      <c r="R243" s="4"/>
      <c r="S243" s="4"/>
      <c r="T243" s="4"/>
    </row>
    <row r="244" spans="16:20" x14ac:dyDescent="0.2">
      <c r="P244" s="4"/>
      <c r="Q244" s="4"/>
      <c r="R244" s="4"/>
      <c r="S244" s="4"/>
      <c r="T244" s="4"/>
    </row>
    <row r="245" spans="16:20" x14ac:dyDescent="0.2">
      <c r="P245" s="4"/>
      <c r="Q245" s="4"/>
      <c r="R245" s="4"/>
      <c r="S245" s="4"/>
      <c r="T245" s="4"/>
    </row>
    <row r="246" spans="16:20" x14ac:dyDescent="0.2">
      <c r="P246" s="4"/>
      <c r="Q246" s="4"/>
      <c r="R246" s="4"/>
      <c r="S246" s="4"/>
      <c r="T246" s="4"/>
    </row>
    <row r="247" spans="16:20" x14ac:dyDescent="0.2">
      <c r="P247" s="4"/>
      <c r="Q247" s="4"/>
      <c r="R247" s="4"/>
      <c r="S247" s="4"/>
      <c r="T247" s="4"/>
    </row>
    <row r="248" spans="16:20" x14ac:dyDescent="0.2">
      <c r="P248" s="4"/>
      <c r="Q248" s="4"/>
      <c r="R248" s="4"/>
      <c r="S248" s="4"/>
      <c r="T248" s="4"/>
    </row>
    <row r="249" spans="16:20" x14ac:dyDescent="0.2">
      <c r="P249" s="4"/>
      <c r="Q249" s="4"/>
      <c r="R249" s="4"/>
      <c r="S249" s="4"/>
      <c r="T249" s="4"/>
    </row>
    <row r="250" spans="16:20" x14ac:dyDescent="0.2">
      <c r="P250" s="4"/>
      <c r="Q250" s="4"/>
      <c r="R250" s="4"/>
      <c r="S250" s="4"/>
      <c r="T250" s="4"/>
    </row>
    <row r="251" spans="16:20" x14ac:dyDescent="0.2">
      <c r="P251" s="4"/>
      <c r="Q251" s="4"/>
      <c r="R251" s="4"/>
      <c r="S251" s="4"/>
      <c r="T251" s="4"/>
    </row>
    <row r="252" spans="16:20" x14ac:dyDescent="0.2">
      <c r="P252" s="4"/>
      <c r="Q252" s="4"/>
      <c r="R252" s="4"/>
      <c r="S252" s="4"/>
      <c r="T252" s="4"/>
    </row>
    <row r="253" spans="16:20" x14ac:dyDescent="0.2">
      <c r="P253" s="4"/>
      <c r="Q253" s="4"/>
      <c r="R253" s="4"/>
      <c r="S253" s="4"/>
      <c r="T253" s="4"/>
    </row>
    <row r="254" spans="16:20" x14ac:dyDescent="0.2">
      <c r="P254" s="4"/>
      <c r="Q254" s="4"/>
      <c r="R254" s="4"/>
      <c r="S254" s="4"/>
      <c r="T254" s="4"/>
    </row>
    <row r="255" spans="16:20" x14ac:dyDescent="0.2">
      <c r="P255" s="4"/>
      <c r="Q255" s="4"/>
      <c r="R255" s="4"/>
      <c r="S255" s="4"/>
      <c r="T255" s="4"/>
    </row>
    <row r="256" spans="16:20" x14ac:dyDescent="0.2">
      <c r="P256" s="4"/>
      <c r="Q256" s="4"/>
      <c r="R256" s="4"/>
      <c r="S256" s="4"/>
      <c r="T256" s="4"/>
    </row>
    <row r="257" spans="16:20" x14ac:dyDescent="0.2">
      <c r="P257" s="4"/>
      <c r="Q257" s="4"/>
      <c r="R257" s="4"/>
      <c r="S257" s="4"/>
      <c r="T257" s="4"/>
    </row>
    <row r="258" spans="16:20" x14ac:dyDescent="0.2">
      <c r="P258" s="4"/>
      <c r="Q258" s="4"/>
      <c r="R258" s="4"/>
      <c r="S258" s="4"/>
      <c r="T258" s="4"/>
    </row>
    <row r="259" spans="16:20" x14ac:dyDescent="0.2">
      <c r="P259" s="4"/>
      <c r="Q259" s="4"/>
      <c r="R259" s="4"/>
      <c r="S259" s="4"/>
      <c r="T259" s="4"/>
    </row>
    <row r="260" spans="16:20" x14ac:dyDescent="0.2">
      <c r="P260" s="4"/>
      <c r="Q260" s="4"/>
      <c r="R260" s="4"/>
      <c r="S260" s="4"/>
      <c r="T260" s="4"/>
    </row>
    <row r="261" spans="16:20" x14ac:dyDescent="0.2">
      <c r="P261" s="4"/>
      <c r="Q261" s="4"/>
      <c r="R261" s="4"/>
      <c r="S261" s="4"/>
      <c r="T261" s="4"/>
    </row>
    <row r="262" spans="16:20" x14ac:dyDescent="0.2">
      <c r="P262" s="4"/>
      <c r="Q262" s="4"/>
      <c r="R262" s="4"/>
      <c r="S262" s="4"/>
      <c r="T262" s="4"/>
    </row>
    <row r="263" spans="16:20" x14ac:dyDescent="0.2">
      <c r="P263" s="4"/>
      <c r="Q263" s="4"/>
      <c r="R263" s="4"/>
      <c r="S263" s="4"/>
      <c r="T263" s="4"/>
    </row>
    <row r="264" spans="16:20" x14ac:dyDescent="0.2">
      <c r="P264" s="4"/>
      <c r="Q264" s="4"/>
      <c r="R264" s="4"/>
      <c r="S264" s="4"/>
      <c r="T264" s="4"/>
    </row>
    <row r="265" spans="16:20" x14ac:dyDescent="0.2">
      <c r="P265" s="4"/>
      <c r="Q265" s="4"/>
      <c r="R265" s="4"/>
      <c r="S265" s="4"/>
      <c r="T265" s="4"/>
    </row>
    <row r="266" spans="16:20" x14ac:dyDescent="0.2">
      <c r="P266" s="4"/>
      <c r="Q266" s="4"/>
      <c r="R266" s="4"/>
      <c r="S266" s="4"/>
      <c r="T266" s="4"/>
    </row>
    <row r="267" spans="16:20" x14ac:dyDescent="0.2">
      <c r="P267" s="4"/>
      <c r="Q267" s="4"/>
      <c r="R267" s="4"/>
      <c r="S267" s="4"/>
      <c r="T267" s="4"/>
    </row>
    <row r="268" spans="16:20" x14ac:dyDescent="0.2">
      <c r="P268" s="4"/>
      <c r="Q268" s="4"/>
      <c r="R268" s="4"/>
      <c r="S268" s="4"/>
      <c r="T268" s="4"/>
    </row>
    <row r="269" spans="16:20" x14ac:dyDescent="0.2">
      <c r="P269" s="4"/>
      <c r="Q269" s="4"/>
      <c r="R269" s="4"/>
      <c r="S269" s="4"/>
      <c r="T269" s="4"/>
    </row>
    <row r="270" spans="16:20" x14ac:dyDescent="0.2">
      <c r="P270" s="4"/>
      <c r="Q270" s="4"/>
      <c r="R270" s="4"/>
      <c r="S270" s="4"/>
      <c r="T270" s="4"/>
    </row>
    <row r="271" spans="16:20" x14ac:dyDescent="0.2">
      <c r="P271" s="4"/>
      <c r="Q271" s="4"/>
      <c r="R271" s="4"/>
      <c r="S271" s="4"/>
      <c r="T271" s="4"/>
    </row>
    <row r="272" spans="16:20" x14ac:dyDescent="0.2">
      <c r="P272" s="4"/>
      <c r="Q272" s="4"/>
      <c r="R272" s="4"/>
      <c r="S272" s="4"/>
      <c r="T272" s="4"/>
    </row>
    <row r="273" spans="16:20" x14ac:dyDescent="0.2">
      <c r="P273" s="4"/>
      <c r="Q273" s="4"/>
      <c r="R273" s="4"/>
      <c r="S273" s="4"/>
      <c r="T273" s="4"/>
    </row>
    <row r="274" spans="16:20" x14ac:dyDescent="0.2">
      <c r="P274" s="4"/>
      <c r="Q274" s="4"/>
      <c r="R274" s="4"/>
      <c r="S274" s="4"/>
      <c r="T274" s="4"/>
    </row>
    <row r="275" spans="16:20" x14ac:dyDescent="0.2">
      <c r="P275" s="4"/>
      <c r="Q275" s="4"/>
      <c r="R275" s="4"/>
      <c r="S275" s="4"/>
      <c r="T275" s="4"/>
    </row>
    <row r="276" spans="16:20" x14ac:dyDescent="0.2">
      <c r="P276" s="4"/>
      <c r="Q276" s="4"/>
      <c r="R276" s="4"/>
      <c r="S276" s="4"/>
      <c r="T276" s="4"/>
    </row>
    <row r="277" spans="16:20" x14ac:dyDescent="0.2">
      <c r="P277" s="4"/>
      <c r="Q277" s="4"/>
      <c r="R277" s="4"/>
      <c r="S277" s="4"/>
      <c r="T277" s="4"/>
    </row>
    <row r="278" spans="16:20" x14ac:dyDescent="0.2">
      <c r="P278" s="4"/>
      <c r="Q278" s="4"/>
      <c r="R278" s="4"/>
      <c r="S278" s="4"/>
      <c r="T278" s="4"/>
    </row>
    <row r="279" spans="16:20" x14ac:dyDescent="0.2">
      <c r="P279" s="4"/>
      <c r="Q279" s="4"/>
      <c r="R279" s="4"/>
      <c r="S279" s="4"/>
      <c r="T279" s="4"/>
    </row>
    <row r="280" spans="16:20" x14ac:dyDescent="0.2">
      <c r="P280" s="4"/>
      <c r="Q280" s="4"/>
      <c r="R280" s="4"/>
      <c r="S280" s="4"/>
      <c r="T280" s="4"/>
    </row>
    <row r="281" spans="16:20" x14ac:dyDescent="0.2">
      <c r="P281" s="4"/>
      <c r="Q281" s="4"/>
      <c r="R281" s="4"/>
      <c r="S281" s="4"/>
      <c r="T281" s="4"/>
    </row>
    <row r="282" spans="16:20" x14ac:dyDescent="0.2">
      <c r="P282" s="4"/>
      <c r="Q282" s="4"/>
      <c r="R282" s="4"/>
      <c r="S282" s="4"/>
      <c r="T282" s="4"/>
    </row>
    <row r="283" spans="16:20" x14ac:dyDescent="0.2">
      <c r="P283" s="4"/>
      <c r="Q283" s="4"/>
      <c r="R283" s="4"/>
      <c r="S283" s="4"/>
      <c r="T283" s="4"/>
    </row>
    <row r="284" spans="16:20" x14ac:dyDescent="0.2">
      <c r="P284" s="4"/>
      <c r="Q284" s="4"/>
      <c r="R284" s="4"/>
      <c r="S284" s="4"/>
      <c r="T284" s="4"/>
    </row>
    <row r="285" spans="16:20" x14ac:dyDescent="0.2">
      <c r="P285" s="4"/>
      <c r="Q285" s="4"/>
      <c r="R285" s="4"/>
      <c r="S285" s="4"/>
      <c r="T285" s="4"/>
    </row>
    <row r="286" spans="16:20" x14ac:dyDescent="0.2">
      <c r="P286" s="4"/>
      <c r="Q286" s="4"/>
      <c r="R286" s="4"/>
      <c r="S286" s="4"/>
      <c r="T286" s="4"/>
    </row>
    <row r="287" spans="16:20" x14ac:dyDescent="0.2">
      <c r="P287" s="4"/>
      <c r="Q287" s="4"/>
      <c r="R287" s="4"/>
      <c r="S287" s="4"/>
      <c r="T287" s="4"/>
    </row>
    <row r="288" spans="16:20" x14ac:dyDescent="0.2">
      <c r="P288" s="4"/>
      <c r="Q288" s="4"/>
      <c r="R288" s="4"/>
      <c r="S288" s="4"/>
      <c r="T288" s="4"/>
    </row>
    <row r="289" spans="16:20" x14ac:dyDescent="0.2">
      <c r="P289" s="4"/>
      <c r="Q289" s="4"/>
      <c r="R289" s="4"/>
      <c r="S289" s="4"/>
      <c r="T289" s="4"/>
    </row>
    <row r="290" spans="16:20" x14ac:dyDescent="0.2">
      <c r="P290" s="4"/>
      <c r="Q290" s="4"/>
      <c r="R290" s="4"/>
      <c r="S290" s="4"/>
      <c r="T290" s="4"/>
    </row>
    <row r="291" spans="16:20" x14ac:dyDescent="0.2">
      <c r="P291" s="4"/>
      <c r="Q291" s="4"/>
      <c r="R291" s="4"/>
      <c r="S291" s="4"/>
      <c r="T291" s="4"/>
    </row>
    <row r="292" spans="16:20" x14ac:dyDescent="0.2">
      <c r="P292" s="4"/>
      <c r="Q292" s="4"/>
      <c r="R292" s="4"/>
      <c r="S292" s="4"/>
      <c r="T292" s="4"/>
    </row>
    <row r="293" spans="16:20" x14ac:dyDescent="0.2">
      <c r="P293" s="4"/>
      <c r="Q293" s="4"/>
      <c r="R293" s="4"/>
      <c r="S293" s="4"/>
      <c r="T293" s="4"/>
    </row>
    <row r="294" spans="16:20" x14ac:dyDescent="0.2">
      <c r="P294" s="4"/>
      <c r="Q294" s="4"/>
      <c r="R294" s="4"/>
      <c r="S294" s="4"/>
      <c r="T294" s="4"/>
    </row>
    <row r="295" spans="16:20" x14ac:dyDescent="0.2">
      <c r="P295" s="4"/>
      <c r="Q295" s="4"/>
      <c r="R295" s="4"/>
      <c r="S295" s="4"/>
      <c r="T295" s="4"/>
    </row>
    <row r="296" spans="16:20" x14ac:dyDescent="0.2">
      <c r="P296" s="4"/>
      <c r="Q296" s="4"/>
      <c r="R296" s="4"/>
      <c r="S296" s="4"/>
      <c r="T296" s="4"/>
    </row>
    <row r="297" spans="16:20" x14ac:dyDescent="0.2">
      <c r="P297" s="4"/>
      <c r="Q297" s="4"/>
      <c r="R297" s="4"/>
      <c r="S297" s="4"/>
      <c r="T297" s="4"/>
    </row>
    <row r="298" spans="16:20" x14ac:dyDescent="0.2">
      <c r="P298" s="4"/>
      <c r="Q298" s="4"/>
      <c r="R298" s="4"/>
      <c r="S298" s="4"/>
      <c r="T298" s="4"/>
    </row>
    <row r="299" spans="16:20" x14ac:dyDescent="0.2">
      <c r="P299" s="4"/>
      <c r="Q299" s="4"/>
      <c r="R299" s="4"/>
      <c r="S299" s="4"/>
      <c r="T299" s="4"/>
    </row>
    <row r="300" spans="16:20" x14ac:dyDescent="0.2">
      <c r="P300" s="4"/>
      <c r="Q300" s="4"/>
      <c r="R300" s="4"/>
      <c r="S300" s="4"/>
      <c r="T300" s="4"/>
    </row>
    <row r="301" spans="16:20" x14ac:dyDescent="0.2">
      <c r="P301" s="4"/>
      <c r="Q301" s="4"/>
      <c r="R301" s="4"/>
      <c r="S301" s="4"/>
      <c r="T301" s="4"/>
    </row>
    <row r="302" spans="16:20" x14ac:dyDescent="0.2">
      <c r="P302" s="4"/>
      <c r="Q302" s="4"/>
      <c r="R302" s="4"/>
      <c r="S302" s="4"/>
      <c r="T302" s="4"/>
    </row>
    <row r="303" spans="16:20" x14ac:dyDescent="0.2">
      <c r="P303" s="4"/>
      <c r="Q303" s="4"/>
      <c r="R303" s="4"/>
      <c r="S303" s="4"/>
      <c r="T303" s="4"/>
    </row>
    <row r="304" spans="16:20" x14ac:dyDescent="0.2">
      <c r="P304" s="4"/>
      <c r="Q304" s="4"/>
      <c r="R304" s="4"/>
      <c r="S304" s="4"/>
      <c r="T304" s="4"/>
    </row>
    <row r="305" spans="16:20" x14ac:dyDescent="0.2">
      <c r="P305" s="4"/>
      <c r="Q305" s="4"/>
      <c r="R305" s="4"/>
      <c r="S305" s="4"/>
      <c r="T305" s="4"/>
    </row>
    <row r="306" spans="16:20" x14ac:dyDescent="0.2">
      <c r="P306" s="4"/>
      <c r="Q306" s="4"/>
      <c r="R306" s="4"/>
      <c r="S306" s="4"/>
      <c r="T306" s="4"/>
    </row>
    <row r="307" spans="16:20" x14ac:dyDescent="0.2">
      <c r="P307" s="4"/>
      <c r="Q307" s="4"/>
      <c r="R307" s="4"/>
      <c r="S307" s="4"/>
      <c r="T307" s="4"/>
    </row>
    <row r="308" spans="16:20" x14ac:dyDescent="0.2">
      <c r="P308" s="4"/>
      <c r="Q308" s="4"/>
      <c r="R308" s="4"/>
      <c r="S308" s="4"/>
      <c r="T308" s="4"/>
    </row>
    <row r="309" spans="16:20" x14ac:dyDescent="0.2">
      <c r="P309" s="4"/>
      <c r="Q309" s="4"/>
      <c r="R309" s="4"/>
      <c r="S309" s="4"/>
      <c r="T309" s="4"/>
    </row>
    <row r="310" spans="16:20" x14ac:dyDescent="0.2">
      <c r="P310" s="4"/>
      <c r="Q310" s="4"/>
      <c r="R310" s="4"/>
      <c r="S310" s="4"/>
      <c r="T310" s="4"/>
    </row>
    <row r="311" spans="16:20" x14ac:dyDescent="0.2">
      <c r="P311" s="4"/>
      <c r="Q311" s="4"/>
      <c r="R311" s="4"/>
      <c r="S311" s="4"/>
      <c r="T311" s="4"/>
    </row>
    <row r="312" spans="16:20" x14ac:dyDescent="0.2">
      <c r="P312" s="4"/>
      <c r="Q312" s="4"/>
      <c r="R312" s="4"/>
      <c r="S312" s="4"/>
      <c r="T312" s="4"/>
    </row>
    <row r="313" spans="16:20" x14ac:dyDescent="0.2">
      <c r="P313" s="4"/>
      <c r="Q313" s="4"/>
      <c r="R313" s="4"/>
      <c r="S313" s="4"/>
      <c r="T313" s="4"/>
    </row>
    <row r="314" spans="16:20" x14ac:dyDescent="0.2">
      <c r="P314" s="4"/>
      <c r="Q314" s="4"/>
      <c r="R314" s="4"/>
      <c r="S314" s="4"/>
      <c r="T314" s="4"/>
    </row>
    <row r="315" spans="16:20" x14ac:dyDescent="0.2">
      <c r="P315" s="4"/>
      <c r="Q315" s="4"/>
      <c r="R315" s="4"/>
      <c r="S315" s="4"/>
      <c r="T315" s="4"/>
    </row>
    <row r="316" spans="16:20" x14ac:dyDescent="0.2">
      <c r="P316" s="4"/>
      <c r="Q316" s="4"/>
      <c r="R316" s="4"/>
      <c r="S316" s="4"/>
      <c r="T316" s="4"/>
    </row>
  </sheetData>
  <sheetProtection password="8677" sheet="1" objects="1" scenarios="1"/>
  <mergeCells count="19">
    <mergeCell ref="F46:J46"/>
    <mergeCell ref="F42:J42"/>
    <mergeCell ref="H64:J64"/>
    <mergeCell ref="H59:J59"/>
    <mergeCell ref="H60:J60"/>
    <mergeCell ref="H61:J61"/>
    <mergeCell ref="H62:J62"/>
    <mergeCell ref="H63:J63"/>
    <mergeCell ref="C38:J38"/>
    <mergeCell ref="C23:F23"/>
    <mergeCell ref="E12:F12"/>
    <mergeCell ref="H12:J13"/>
    <mergeCell ref="E13:F13"/>
    <mergeCell ref="E14:F14"/>
    <mergeCell ref="I14:J14"/>
    <mergeCell ref="C20:I20"/>
    <mergeCell ref="H15:I15"/>
    <mergeCell ref="H16:I16"/>
    <mergeCell ref="J16:K16"/>
  </mergeCells>
  <conditionalFormatting sqref="H41">
    <cfRule type="expression" dxfId="16" priority="11">
      <formula>AND(NOT(M41=1),H41="")</formula>
    </cfRule>
  </conditionalFormatting>
  <conditionalFormatting sqref="H45">
    <cfRule type="expression" dxfId="15" priority="10">
      <formula>AND(NOT(M45=1),H45="")</formula>
    </cfRule>
  </conditionalFormatting>
  <conditionalFormatting sqref="G49">
    <cfRule type="expression" dxfId="14" priority="27">
      <formula>AND(NOT(#REF!=4),G49="")</formula>
    </cfRule>
  </conditionalFormatting>
  <conditionalFormatting sqref="H49">
    <cfRule type="expression" dxfId="13" priority="28">
      <formula>AND(NOT(#REF!=4),H49="")</formula>
    </cfRule>
  </conditionalFormatting>
  <conditionalFormatting sqref="F49">
    <cfRule type="expression" dxfId="12" priority="29">
      <formula>AND(NOT(#REF!=4),F49="")</formula>
    </cfRule>
  </conditionalFormatting>
  <hyperlinks>
    <hyperlink ref="O22" location="Kulturen!A1" display="Registerblatt Kulturen"/>
    <hyperlink ref="O16" location="Gemarkungen!A1" display="Registerblatt Gemarkungen / Vergleichsgebiet"/>
    <hyperlink ref="O53" location="Vorfruechte!A1" display="Registerblatt Vorfrucht, Kultur"/>
    <hyperlink ref="O55" location="Vorfruechte!A1" display="Registerblatt Vorfrucht, Strohabfuhr, nein, Ja"/>
    <hyperlink ref="O41" location="Due_org!A1" display="Registerblatt org.Dünger"/>
    <hyperlink ref="O33" location="Bodenarten!A1" display="Registerblatt Bodenart"/>
    <hyperlink ref="O45" location="Due_org!A1" display="Registerblatt organische Dünger"/>
    <hyperlink ref="O36" location="AB_Kalk!A1" display="Registerblatt Stammdaten Kalk-Acker"/>
    <hyperlink ref="O49" location="Due_org!A1" display="Registerblatt organische Dünger"/>
    <hyperlink ref="O56" location="Zwfru!A1" display="Registerblatt Zwischenfrucht"/>
  </hyperlinks>
  <pageMargins left="0.62992125984251968" right="0.23622047244094491" top="0.74803149606299213" bottom="0.74803149606299213" header="0.31496062992125984" footer="0.31496062992125984"/>
  <pageSetup paperSize="9" scale="95" orientation="portrait" r:id="rId1"/>
  <headerFooter>
    <oddFooter>&amp;LDüngung BW&amp;C&amp;F&amp;A&amp;R&amp;D</oddFooter>
  </headerFooter>
  <rowBreaks count="1" manualBreakCount="1">
    <brk id="64" min="2"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48481" r:id="rId4" name="Drop Down 1">
              <controlPr defaultSize="0" autoLine="0" autoPict="0">
                <anchor moveWithCells="1">
                  <from>
                    <xdr:col>3</xdr:col>
                    <xdr:colOff>0</xdr:colOff>
                    <xdr:row>20</xdr:row>
                    <xdr:rowOff>0</xdr:rowOff>
                  </from>
                  <to>
                    <xdr:col>6</xdr:col>
                    <xdr:colOff>0</xdr:colOff>
                    <xdr:row>22</xdr:row>
                    <xdr:rowOff>0</xdr:rowOff>
                  </to>
                </anchor>
              </controlPr>
            </control>
          </mc:Choice>
        </mc:AlternateContent>
        <mc:AlternateContent xmlns:mc="http://schemas.openxmlformats.org/markup-compatibility/2006">
          <mc:Choice Requires="x14">
            <control shapeId="148482" r:id="rId5" name="Drop Down 2">
              <controlPr defaultSize="0" autoLine="0" autoPict="0">
                <anchor moveWithCells="1">
                  <from>
                    <xdr:col>3</xdr:col>
                    <xdr:colOff>0</xdr:colOff>
                    <xdr:row>52</xdr:row>
                    <xdr:rowOff>0</xdr:rowOff>
                  </from>
                  <to>
                    <xdr:col>6</xdr:col>
                    <xdr:colOff>0</xdr:colOff>
                    <xdr:row>53</xdr:row>
                    <xdr:rowOff>0</xdr:rowOff>
                  </to>
                </anchor>
              </controlPr>
            </control>
          </mc:Choice>
        </mc:AlternateContent>
        <mc:AlternateContent xmlns:mc="http://schemas.openxmlformats.org/markup-compatibility/2006">
          <mc:Choice Requires="x14">
            <control shapeId="148484" r:id="rId6" name="Drop Down 4">
              <controlPr defaultSize="0" autoLine="0" autoPict="0">
                <anchor moveWithCells="1">
                  <from>
                    <xdr:col>3</xdr:col>
                    <xdr:colOff>0</xdr:colOff>
                    <xdr:row>54</xdr:row>
                    <xdr:rowOff>0</xdr:rowOff>
                  </from>
                  <to>
                    <xdr:col>4</xdr:col>
                    <xdr:colOff>0</xdr:colOff>
                    <xdr:row>55</xdr:row>
                    <xdr:rowOff>0</xdr:rowOff>
                  </to>
                </anchor>
              </controlPr>
            </control>
          </mc:Choice>
        </mc:AlternateContent>
        <mc:AlternateContent xmlns:mc="http://schemas.openxmlformats.org/markup-compatibility/2006">
          <mc:Choice Requires="x14">
            <control shapeId="148485" r:id="rId7" name="Drop Down 5">
              <controlPr defaultSize="0" autoLine="0" autoPict="0">
                <anchor moveWithCells="1">
                  <from>
                    <xdr:col>2</xdr:col>
                    <xdr:colOff>0</xdr:colOff>
                    <xdr:row>40</xdr:row>
                    <xdr:rowOff>0</xdr:rowOff>
                  </from>
                  <to>
                    <xdr:col>5</xdr:col>
                    <xdr:colOff>0</xdr:colOff>
                    <xdr:row>41</xdr:row>
                    <xdr:rowOff>0</xdr:rowOff>
                  </to>
                </anchor>
              </controlPr>
            </control>
          </mc:Choice>
        </mc:AlternateContent>
        <mc:AlternateContent xmlns:mc="http://schemas.openxmlformats.org/markup-compatibility/2006">
          <mc:Choice Requires="x14">
            <control shapeId="148486" r:id="rId8" name="Drop Down 6">
              <controlPr defaultSize="0" autoLine="0" autoPict="0">
                <anchor moveWithCells="1">
                  <from>
                    <xdr:col>3</xdr:col>
                    <xdr:colOff>0</xdr:colOff>
                    <xdr:row>31</xdr:row>
                    <xdr:rowOff>0</xdr:rowOff>
                  </from>
                  <to>
                    <xdr:col>6</xdr:col>
                    <xdr:colOff>0</xdr:colOff>
                    <xdr:row>32</xdr:row>
                    <xdr:rowOff>0</xdr:rowOff>
                  </to>
                </anchor>
              </controlPr>
            </control>
          </mc:Choice>
        </mc:AlternateContent>
        <mc:AlternateContent xmlns:mc="http://schemas.openxmlformats.org/markup-compatibility/2006">
          <mc:Choice Requires="x14">
            <control shapeId="148488" r:id="rId9" name="Drop Down 8">
              <controlPr defaultSize="0" autoLine="0" autoPict="0">
                <anchor moveWithCells="1">
                  <from>
                    <xdr:col>2</xdr:col>
                    <xdr:colOff>0</xdr:colOff>
                    <xdr:row>44</xdr:row>
                    <xdr:rowOff>0</xdr:rowOff>
                  </from>
                  <to>
                    <xdr:col>5</xdr:col>
                    <xdr:colOff>0</xdr:colOff>
                    <xdr:row>45</xdr:row>
                    <xdr:rowOff>0</xdr:rowOff>
                  </to>
                </anchor>
              </controlPr>
            </control>
          </mc:Choice>
        </mc:AlternateContent>
        <mc:AlternateContent xmlns:mc="http://schemas.openxmlformats.org/markup-compatibility/2006">
          <mc:Choice Requires="x14">
            <control shapeId="148491" r:id="rId10" name="Drop Down 11">
              <controlPr defaultSize="0" autoLine="0" autoPict="0">
                <anchor moveWithCells="1">
                  <from>
                    <xdr:col>2</xdr:col>
                    <xdr:colOff>0</xdr:colOff>
                    <xdr:row>63</xdr:row>
                    <xdr:rowOff>0</xdr:rowOff>
                  </from>
                  <to>
                    <xdr:col>3</xdr:col>
                    <xdr:colOff>0</xdr:colOff>
                    <xdr:row>64</xdr:row>
                    <xdr:rowOff>0</xdr:rowOff>
                  </to>
                </anchor>
              </controlPr>
            </control>
          </mc:Choice>
        </mc:AlternateContent>
        <mc:AlternateContent xmlns:mc="http://schemas.openxmlformats.org/markup-compatibility/2006">
          <mc:Choice Requires="x14">
            <control shapeId="148492" r:id="rId11" name="Drop Down 12">
              <controlPr defaultSize="0" autoLine="0" autoPict="0">
                <anchor moveWithCells="1">
                  <from>
                    <xdr:col>5</xdr:col>
                    <xdr:colOff>0</xdr:colOff>
                    <xdr:row>63</xdr:row>
                    <xdr:rowOff>0</xdr:rowOff>
                  </from>
                  <to>
                    <xdr:col>6</xdr:col>
                    <xdr:colOff>0</xdr:colOff>
                    <xdr:row>64</xdr:row>
                    <xdr:rowOff>0</xdr:rowOff>
                  </to>
                </anchor>
              </controlPr>
            </control>
          </mc:Choice>
        </mc:AlternateContent>
        <mc:AlternateContent xmlns:mc="http://schemas.openxmlformats.org/markup-compatibility/2006">
          <mc:Choice Requires="x14">
            <control shapeId="148493" r:id="rId12" name="Drop Down 13">
              <controlPr defaultSize="0" autoLine="0" autoPict="0">
                <anchor moveWithCells="1">
                  <from>
                    <xdr:col>9</xdr:col>
                    <xdr:colOff>0</xdr:colOff>
                    <xdr:row>63</xdr:row>
                    <xdr:rowOff>0</xdr:rowOff>
                  </from>
                  <to>
                    <xdr:col>9</xdr:col>
                    <xdr:colOff>876300</xdr:colOff>
                    <xdr:row>64</xdr:row>
                    <xdr:rowOff>0</xdr:rowOff>
                  </to>
                </anchor>
              </controlPr>
            </control>
          </mc:Choice>
        </mc:AlternateContent>
        <mc:AlternateContent xmlns:mc="http://schemas.openxmlformats.org/markup-compatibility/2006">
          <mc:Choice Requires="x14">
            <control shapeId="148499" r:id="rId13" name="Drop Down 19">
              <controlPr defaultSize="0" autoLine="0" autoPict="0">
                <anchor moveWithCells="1">
                  <from>
                    <xdr:col>3</xdr:col>
                    <xdr:colOff>0</xdr:colOff>
                    <xdr:row>34</xdr:row>
                    <xdr:rowOff>0</xdr:rowOff>
                  </from>
                  <to>
                    <xdr:col>4</xdr:col>
                    <xdr:colOff>0</xdr:colOff>
                    <xdr:row>35</xdr:row>
                    <xdr:rowOff>0</xdr:rowOff>
                  </to>
                </anchor>
              </controlPr>
            </control>
          </mc:Choice>
        </mc:AlternateContent>
        <mc:AlternateContent xmlns:mc="http://schemas.openxmlformats.org/markup-compatibility/2006">
          <mc:Choice Requires="x14">
            <control shapeId="148501" r:id="rId14" name="Drop Down 21">
              <controlPr defaultSize="0" autoLine="0" autoPict="0">
                <anchor moveWithCells="1">
                  <from>
                    <xdr:col>2</xdr:col>
                    <xdr:colOff>0</xdr:colOff>
                    <xdr:row>48</xdr:row>
                    <xdr:rowOff>0</xdr:rowOff>
                  </from>
                  <to>
                    <xdr:col>5</xdr:col>
                    <xdr:colOff>0</xdr:colOff>
                    <xdr:row>49</xdr:row>
                    <xdr:rowOff>0</xdr:rowOff>
                  </to>
                </anchor>
              </controlPr>
            </control>
          </mc:Choice>
        </mc:AlternateContent>
        <mc:AlternateContent xmlns:mc="http://schemas.openxmlformats.org/markup-compatibility/2006">
          <mc:Choice Requires="x14">
            <control shapeId="148503" r:id="rId15" name="Drop Down 23">
              <controlPr defaultSize="0" autoLine="0" autoPict="0">
                <anchor moveWithCells="1">
                  <from>
                    <xdr:col>6</xdr:col>
                    <xdr:colOff>0</xdr:colOff>
                    <xdr:row>54</xdr:row>
                    <xdr:rowOff>0</xdr:rowOff>
                  </from>
                  <to>
                    <xdr:col>9</xdr:col>
                    <xdr:colOff>171450</xdr:colOff>
                    <xdr:row>55</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7B912109-62DB-4A46-AEE7-3AAA78A8137C}">
            <xm:f>Startmenue!$E$46&lt;TODAY()</xm:f>
            <x14:dxf>
              <font>
                <color theme="1"/>
              </font>
              <fill>
                <patternFill>
                  <bgColor theme="1"/>
                </patternFill>
              </fill>
              <border>
                <left/>
                <right/>
                <top/>
                <bottom/>
                <vertical/>
                <horizontal/>
              </border>
            </x14:dxf>
          </x14:cfRule>
          <xm:sqref>C3:J14 C47:J64 C46:E46 C43:J45 C42:F42 C25:J41 C24:D24 F24:J24 C18:J23 C15:F17</xm:sqref>
        </x14:conditionalFormatting>
        <x14:conditionalFormatting xmlns:xm="http://schemas.microsoft.com/office/excel/2006/main">
          <x14:cfRule type="expression" priority="5" id="{B2588025-1561-47B9-91F2-00BB3627E025}">
            <xm:f>Startmenue!$E$46&lt;TODAY()</xm:f>
            <x14:dxf>
              <font>
                <color theme="1"/>
              </font>
              <fill>
                <patternFill>
                  <bgColor theme="1"/>
                </patternFill>
              </fill>
              <border>
                <left/>
                <right/>
                <top/>
                <bottom/>
                <vertical/>
                <horizontal/>
              </border>
            </x14:dxf>
          </x14:cfRule>
          <xm:sqref>F46</xm:sqref>
        </x14:conditionalFormatting>
        <x14:conditionalFormatting xmlns:xm="http://schemas.microsoft.com/office/excel/2006/main">
          <x14:cfRule type="expression" priority="4" id="{45CB6A4B-B80A-4D39-809C-B9D660F8A8FD}">
            <xm:f>Startmenue!$E$46&lt;TODAY()</xm:f>
            <x14:dxf>
              <font>
                <color theme="1"/>
              </font>
              <fill>
                <patternFill>
                  <bgColor theme="1"/>
                </patternFill>
              </fill>
              <border>
                <left/>
                <right/>
                <top/>
                <bottom/>
                <vertical/>
                <horizontal/>
              </border>
            </x14:dxf>
          </x14:cfRule>
          <xm:sqref>E24</xm:sqref>
        </x14:conditionalFormatting>
        <x14:conditionalFormatting xmlns:xm="http://schemas.microsoft.com/office/excel/2006/main">
          <x14:cfRule type="expression" priority="3" id="{8F5804A1-48F6-411C-B221-B955D542D6C8}">
            <xm:f>Startmenue!$E$46&lt;TODAY()</xm:f>
            <x14:dxf>
              <font>
                <color auto="1"/>
              </font>
              <fill>
                <patternFill>
                  <bgColor theme="1"/>
                </patternFill>
              </fill>
              <border>
                <left/>
                <right/>
                <top/>
                <bottom/>
                <vertical/>
                <horizontal/>
              </border>
            </x14:dxf>
          </x14:cfRule>
          <xm:sqref>G17:J17 G15:H16</xm:sqref>
        </x14:conditionalFormatting>
        <x14:conditionalFormatting xmlns:xm="http://schemas.microsoft.com/office/excel/2006/main">
          <x14:cfRule type="expression" priority="2" id="{578AD7BE-391B-4972-80E3-D514A5CD2B30}">
            <xm:f>Startmenue!$E$46&lt;TODAY()</xm:f>
            <x14:dxf>
              <font>
                <color auto="1"/>
              </font>
              <fill>
                <patternFill>
                  <bgColor theme="1"/>
                </patternFill>
              </fill>
              <border>
                <left/>
                <right/>
                <top/>
                <bottom/>
                <vertical/>
                <horizontal/>
              </border>
            </x14:dxf>
          </x14:cfRule>
          <xm:sqref>J16:K16</xm:sqref>
        </x14:conditionalFormatting>
        <x14:conditionalFormatting xmlns:xm="http://schemas.microsoft.com/office/excel/2006/main">
          <x14:cfRule type="expression" priority="1" id="{1EE20C12-E658-4BDE-8375-CB326CB6EAC5}">
            <xm:f>COUNTIF(OFFSET(Gemarkungen!$C$12,VLOOKUP(H15,Gemarkungen!$O$13:$R$1130,3,FALSE),0,VLOOKUP(H15, Gemarkungen!$O$13:$R$1130,4,FALSE)-VLOOKUP(H15,Gemarkungen!$O$13:$R$1130,3,FALSE)+1,1),$H$16)&lt;&gt;1</xm:f>
            <x14:dxf>
              <font>
                <color rgb="FFFFFFCC"/>
              </font>
            </x14:dxf>
          </x14:cfRule>
          <xm:sqref>H16:I16</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Gemarkungen!$O$13:$O$1115</xm:f>
          </x14:formula1>
          <xm:sqref>H15</xm:sqref>
        </x14:dataValidation>
        <x14:dataValidation type="list" allowBlank="1" showInputMessage="1" showErrorMessage="1">
          <x14:formula1>
            <xm:f>OFFSET(Gemarkungen!$C$12,VLOOKUP(H15,Gemarkungen!$O$13:$R$1130,3,FALSE),0,VLOOKUP(H15, Gemarkungen!$O$13:$R$1130,4,FALSE)-VLOOKUP(H15,Gemarkungen!$O$13:$R$1130,3,FALSE)+1,1)</xm:f>
          </x14:formula1>
          <xm:sqref>H16:I16</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29</vt:i4>
      </vt:variant>
      <vt:variant>
        <vt:lpstr>Benannte Bereiche</vt:lpstr>
      </vt:variant>
      <vt:variant>
        <vt:i4>27</vt:i4>
      </vt:variant>
    </vt:vector>
  </HeadingPairs>
  <TitlesOfParts>
    <vt:vector size="56" baseType="lpstr">
      <vt:lpstr>Startmenue</vt:lpstr>
      <vt:lpstr>Hinweise</vt:lpstr>
      <vt:lpstr>AB_Eingabe</vt:lpstr>
      <vt:lpstr>AB_Ergebnis</vt:lpstr>
      <vt:lpstr>AB_Kommentare</vt:lpstr>
      <vt:lpstr>GL_Eingabe</vt:lpstr>
      <vt:lpstr>GL_Ergebnis</vt:lpstr>
      <vt:lpstr>GL_Kommentare</vt:lpstr>
      <vt:lpstr>OR_Eingabe</vt:lpstr>
      <vt:lpstr>OR_Ergebnis</vt:lpstr>
      <vt:lpstr>OR_Kommentare</vt:lpstr>
      <vt:lpstr>Kulturen</vt:lpstr>
      <vt:lpstr>Ertraege_Duengemengen</vt:lpstr>
      <vt:lpstr>Vorfruechte</vt:lpstr>
      <vt:lpstr>Zwfru</vt:lpstr>
      <vt:lpstr>Due_org</vt:lpstr>
      <vt:lpstr>Ackerzahl</vt:lpstr>
      <vt:lpstr>Mais_Boden</vt:lpstr>
      <vt:lpstr>Nachlieferung_Leg</vt:lpstr>
      <vt:lpstr>GL_Bodenvorrat</vt:lpstr>
      <vt:lpstr>Bodenarten</vt:lpstr>
      <vt:lpstr>Humus</vt:lpstr>
      <vt:lpstr>AB_Kalk</vt:lpstr>
      <vt:lpstr>GL_Kalk</vt:lpstr>
      <vt:lpstr>OR_Kalk </vt:lpstr>
      <vt:lpstr>Gemarkungen</vt:lpstr>
      <vt:lpstr>PKMg</vt:lpstr>
      <vt:lpstr>Kommentarliste</vt:lpstr>
      <vt:lpstr>Datenliste</vt:lpstr>
      <vt:lpstr>Due_org!_ftn1</vt:lpstr>
      <vt:lpstr>Due_org!_ftn3</vt:lpstr>
      <vt:lpstr>Due_org!_ftnref1</vt:lpstr>
      <vt:lpstr>Due_org!_ftnref2</vt:lpstr>
      <vt:lpstr>Due_org!_ftnref3</vt:lpstr>
      <vt:lpstr>AB_Eingabe!Druckbereich</vt:lpstr>
      <vt:lpstr>AB_Ergebnis!Druckbereich</vt:lpstr>
      <vt:lpstr>AB_Kalk!Druckbereich</vt:lpstr>
      <vt:lpstr>Datenliste!Druckbereich</vt:lpstr>
      <vt:lpstr>Due_org!Druckbereich</vt:lpstr>
      <vt:lpstr>Ertraege_Duengemengen!Druckbereich</vt:lpstr>
      <vt:lpstr>GL_Eingabe!Druckbereich</vt:lpstr>
      <vt:lpstr>GL_Ergebnis!Druckbereich</vt:lpstr>
      <vt:lpstr>GL_Kalk!Druckbereich</vt:lpstr>
      <vt:lpstr>Hinweise!Druckbereich</vt:lpstr>
      <vt:lpstr>Kulturen!Druckbereich</vt:lpstr>
      <vt:lpstr>OR_Eingabe!Druckbereich</vt:lpstr>
      <vt:lpstr>OR_Ergebnis!Druckbereich</vt:lpstr>
      <vt:lpstr>'OR_Kalk '!Druckbereich</vt:lpstr>
      <vt:lpstr>Startmenue!Druckbereich</vt:lpstr>
      <vt:lpstr>AB_Ergebnis!Drucktitel</vt:lpstr>
      <vt:lpstr>Due_org!Drucktitel</vt:lpstr>
      <vt:lpstr>GL_Ergebnis!Drucktitel</vt:lpstr>
      <vt:lpstr>Kulturen!Drucktitel</vt:lpstr>
      <vt:lpstr>OR_Ergebnis!Drucktitel</vt:lpstr>
      <vt:lpstr>Nach_Leg_bis</vt:lpstr>
      <vt:lpstr>Nach_Leg_von</vt:lpstr>
    </vt:vector>
  </TitlesOfParts>
  <Company>LGL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Düngebedarfsberechnung</dc:title>
  <dc:subject>Düngeverordnung</dc:subject>
  <dc:creator>Krieg, Karl (LEL), Veronika Mayer (LTZ);Achim.Bader@lel.bwl.de</dc:creator>
  <cp:keywords>Düngebedarf, Düngeverordnung</cp:keywords>
  <dc:description>Berechnung des Düngebedarfs an N, P205, K20, MG0 bei Ackerkulturen, Obst, Reben,Grünland,
mit Kalkbedarfsberechnung</dc:description>
  <cp:lastModifiedBy>Bader, Achim (LEL)</cp:lastModifiedBy>
  <cp:lastPrinted>2018-02-14T13:20:03Z</cp:lastPrinted>
  <dcterms:created xsi:type="dcterms:W3CDTF">2016-09-28T12:15:41Z</dcterms:created>
  <dcterms:modified xsi:type="dcterms:W3CDTF">2018-03-06T10:55:04Z</dcterms:modified>
  <cp:contentStatus>Entwurf</cp:contentStatus>
</cp:coreProperties>
</file>